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ohn/Documents/Cars and Restoration/2001 BMW 330Ci/"/>
    </mc:Choice>
  </mc:AlternateContent>
  <xr:revisionPtr revIDLastSave="0" documentId="13_ncr:1_{E5E84CD0-E1B0-3546-A757-218A47D5B15C}" xr6:coauthVersionLast="45" xr6:coauthVersionMax="45" xr10:uidLastSave="{00000000-0000-0000-0000-000000000000}"/>
  <bookViews>
    <workbookView xWindow="2900" yWindow="460" windowWidth="25600" windowHeight="16060" tabRatio="500" firstSheet="1" activeTab="5" xr2:uid="{00000000-000D-0000-FFFF-FFFF00000000}"/>
  </bookViews>
  <sheets>
    <sheet name="Background" sheetId="2" r:id="rId1"/>
    <sheet name="Expense Sheet" sheetId="1" r:id="rId2"/>
    <sheet name="Amortization Schedule" sheetId="3" r:id="rId3"/>
    <sheet name="New Car - Compare" sheetId="6" r:id="rId4"/>
    <sheet name="Miscellaneous Parts" sheetId="7" r:id="rId5"/>
    <sheet name="2020 - Campaign Parts" sheetId="8" r:id="rId6"/>
  </sheets>
  <externalReferences>
    <externalReference r:id="rId7"/>
  </externalReferences>
  <definedNames>
    <definedName name="Beg_Bal">'Amortization Schedule'!$C$18:$C$53</definedName>
    <definedName name="Extra_Pay">'Amortization Schedule'!$E$18:$E$53</definedName>
    <definedName name="Int">'Amortization Schedule'!$H$18:$H$53</definedName>
    <definedName name="Interest_Rate">'Amortization Schedule'!$D$5</definedName>
    <definedName name="Interest_Rate_Compare">#REF!</definedName>
    <definedName name="Loan_Amount">'Amortization Schedule'!$D$4</definedName>
    <definedName name="Loan_Amount_Compare">#REF!</definedName>
    <definedName name="Loan_Start">'Amortization Schedule'!$D$7</definedName>
    <definedName name="Loan_Start_Compare">#REF!</definedName>
    <definedName name="Loan_Years">'Amortization Schedule'!$D$6</definedName>
    <definedName name="Loan_Years_Compare">#REF!</definedName>
    <definedName name="Pay_Num">'Amortization Schedule'!$A$18:$A$53</definedName>
    <definedName name="Princ">'Amortization Schedule'!$G$18:$G$53</definedName>
    <definedName name="Sched_Pay">'Amortization Schedule'!$D$18:$D$53</definedName>
    <definedName name="Scheduled_Extra_Payments">'Amortization Schedule'!$D$8</definedName>
    <definedName name="Scheduled_Extra_Payments_Compare">#REF!</definedName>
    <definedName name="Scheduled_Monthly_Payment">'Amortization Schedule'!$D$11</definedName>
    <definedName name="Scheduled_Monthly_Payment_Compare">#REF!</definedName>
    <definedName name="Total_Pay">'Amortization Schedule'!$F$18:$F$53</definedName>
    <definedName name="Values_Entered">IF(Loan_Amount*Interest_Rate*Loan_Years*Loan_Start&gt;0,1,0)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1" i="1" l="1"/>
  <c r="E50" i="1"/>
  <c r="E37" i="1"/>
  <c r="E36" i="1"/>
  <c r="E35" i="1"/>
  <c r="E34" i="1"/>
  <c r="E33" i="1"/>
  <c r="E11" i="1"/>
  <c r="E12" i="1"/>
  <c r="E13" i="1"/>
  <c r="E14" i="1"/>
  <c r="E8" i="1"/>
  <c r="E9" i="1"/>
  <c r="E10" i="1"/>
  <c r="E15" i="1"/>
  <c r="E16" i="1"/>
  <c r="E17" i="1"/>
  <c r="E4" i="1" s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8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E54" i="1"/>
  <c r="C55" i="1"/>
  <c r="E55" i="1" s="1"/>
  <c r="F4" i="1" s="1"/>
  <c r="J3" i="1" s="1"/>
  <c r="E56" i="1"/>
  <c r="E57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J26" i="1"/>
  <c r="J20" i="1"/>
  <c r="K4" i="1" l="1"/>
  <c r="K6" i="1" s="1"/>
  <c r="K10" i="1" s="1"/>
  <c r="J6" i="1"/>
  <c r="J10" i="1" l="1"/>
  <c r="J25" i="1"/>
  <c r="J28" i="1" l="1"/>
  <c r="K28" i="1" s="1"/>
  <c r="J31" i="1" s="1"/>
  <c r="J34" i="1" s="1"/>
  <c r="K34" i="1" s="1"/>
  <c r="J27" i="1"/>
  <c r="D4" i="3" s="1"/>
  <c r="A18" i="3" l="1"/>
  <c r="A19" i="3"/>
  <c r="C18" i="3"/>
  <c r="D11" i="3"/>
  <c r="B19" i="3" l="1"/>
  <c r="E19" i="3"/>
  <c r="D19" i="3"/>
  <c r="F19" i="3" s="1"/>
  <c r="A20" i="3"/>
  <c r="F18" i="3"/>
  <c r="G18" i="3" s="1"/>
  <c r="I18" i="3" s="1"/>
  <c r="C19" i="3" s="1"/>
  <c r="B18" i="3"/>
  <c r="H18" i="3"/>
  <c r="D18" i="3"/>
  <c r="E18" i="3"/>
  <c r="H19" i="3" l="1"/>
  <c r="G19" i="3" s="1"/>
  <c r="I19" i="3" s="1"/>
  <c r="C20" i="3" s="1"/>
  <c r="B20" i="3"/>
  <c r="D20" i="3"/>
  <c r="F20" i="3"/>
  <c r="A21" i="3"/>
  <c r="I20" i="3" l="1"/>
  <c r="H20" i="3"/>
  <c r="G20" i="3" s="1"/>
  <c r="D21" i="3"/>
  <c r="C21" i="3"/>
  <c r="H21" i="3" s="1"/>
  <c r="E21" i="3"/>
  <c r="B21" i="3"/>
  <c r="A22" i="3"/>
  <c r="D22" i="3" l="1"/>
  <c r="E22" i="3"/>
  <c r="F22" i="3"/>
  <c r="B22" i="3"/>
  <c r="A23" i="3"/>
  <c r="F21" i="3"/>
  <c r="G21" i="3" s="1"/>
  <c r="I21" i="3" s="1"/>
  <c r="C22" i="3" s="1"/>
  <c r="H22" i="3" l="1"/>
  <c r="G22" i="3" s="1"/>
  <c r="I22" i="3" s="1"/>
  <c r="C23" i="3" s="1"/>
  <c r="D23" i="3"/>
  <c r="E23" i="3"/>
  <c r="F23" i="3"/>
  <c r="B23" i="3"/>
  <c r="A24" i="3"/>
  <c r="H23" i="3" l="1"/>
  <c r="G23" i="3" s="1"/>
  <c r="I23" i="3" s="1"/>
  <c r="C24" i="3" s="1"/>
  <c r="E24" i="3"/>
  <c r="B24" i="3"/>
  <c r="F24" i="3"/>
  <c r="D24" i="3"/>
  <c r="A25" i="3"/>
  <c r="I24" i="3" l="1"/>
  <c r="H24" i="3"/>
  <c r="G24" i="3" s="1"/>
  <c r="D25" i="3"/>
  <c r="F25" i="3" s="1"/>
  <c r="B25" i="3"/>
  <c r="C25" i="3"/>
  <c r="H25" i="3" s="1"/>
  <c r="E25" i="3"/>
  <c r="A26" i="3"/>
  <c r="G25" i="3" l="1"/>
  <c r="I25" i="3"/>
  <c r="B26" i="3"/>
  <c r="F26" i="3"/>
  <c r="C26" i="3"/>
  <c r="H26" i="3" s="1"/>
  <c r="D26" i="3"/>
  <c r="E26" i="3"/>
  <c r="A27" i="3"/>
  <c r="G26" i="3" l="1"/>
  <c r="I26" i="3" s="1"/>
  <c r="C27" i="3" s="1"/>
  <c r="B27" i="3"/>
  <c r="D27" i="3"/>
  <c r="F27" i="3" s="1"/>
  <c r="E27" i="3"/>
  <c r="A28" i="3"/>
  <c r="H27" i="3" l="1"/>
  <c r="G27" i="3" s="1"/>
  <c r="I27" i="3" s="1"/>
  <c r="C28" i="3" s="1"/>
  <c r="B28" i="3"/>
  <c r="D28" i="3"/>
  <c r="F28" i="3" s="1"/>
  <c r="E28" i="3"/>
  <c r="A29" i="3"/>
  <c r="H28" i="3" l="1"/>
  <c r="G28" i="3"/>
  <c r="I28" i="3" s="1"/>
  <c r="C29" i="3" s="1"/>
  <c r="D29" i="3"/>
  <c r="F29" i="3" s="1"/>
  <c r="E29" i="3"/>
  <c r="B29" i="3"/>
  <c r="A30" i="3"/>
  <c r="H29" i="3" l="1"/>
  <c r="G29" i="3" s="1"/>
  <c r="I29" i="3" s="1"/>
  <c r="C30" i="3" s="1"/>
  <c r="D30" i="3"/>
  <c r="F30" i="3" s="1"/>
  <c r="E30" i="3"/>
  <c r="B30" i="3"/>
  <c r="A31" i="3"/>
  <c r="H30" i="3" l="1"/>
  <c r="G30" i="3"/>
  <c r="I30" i="3" s="1"/>
  <c r="C31" i="3" s="1"/>
  <c r="D31" i="3"/>
  <c r="F31" i="3" s="1"/>
  <c r="E31" i="3"/>
  <c r="B31" i="3"/>
  <c r="A32" i="3"/>
  <c r="G31" i="3" l="1"/>
  <c r="I31" i="3" s="1"/>
  <c r="C32" i="3" s="1"/>
  <c r="H31" i="3"/>
  <c r="E32" i="3"/>
  <c r="D32" i="3"/>
  <c r="F32" i="3" s="1"/>
  <c r="B32" i="3"/>
  <c r="A33" i="3"/>
  <c r="G32" i="3" l="1"/>
  <c r="I32" i="3"/>
  <c r="C33" i="3" s="1"/>
  <c r="H32" i="3"/>
  <c r="F33" i="3"/>
  <c r="B33" i="3"/>
  <c r="D33" i="3"/>
  <c r="E33" i="3"/>
  <c r="A34" i="3"/>
  <c r="I33" i="3" l="1"/>
  <c r="H33" i="3"/>
  <c r="G33" i="3"/>
  <c r="B34" i="3"/>
  <c r="F34" i="3"/>
  <c r="C34" i="3"/>
  <c r="H34" i="3" s="1"/>
  <c r="D34" i="3"/>
  <c r="E34" i="3"/>
  <c r="A35" i="3"/>
  <c r="G34" i="3" l="1"/>
  <c r="I34" i="3" s="1"/>
  <c r="C35" i="3" s="1"/>
  <c r="B35" i="3"/>
  <c r="D35" i="3"/>
  <c r="F35" i="3" s="1"/>
  <c r="E35" i="3"/>
  <c r="A36" i="3"/>
  <c r="G35" i="3" l="1"/>
  <c r="H35" i="3"/>
  <c r="I35" i="3"/>
  <c r="C36" i="3" s="1"/>
  <c r="B36" i="3"/>
  <c r="D36" i="3"/>
  <c r="F36" i="3" s="1"/>
  <c r="E36" i="3"/>
  <c r="A37" i="3"/>
  <c r="H36" i="3" l="1"/>
  <c r="G36" i="3" s="1"/>
  <c r="I36" i="3" s="1"/>
  <c r="C37" i="3" s="1"/>
  <c r="D37" i="3"/>
  <c r="F37" i="3" s="1"/>
  <c r="E37" i="3"/>
  <c r="B37" i="3"/>
  <c r="A38" i="3"/>
  <c r="H37" i="3" l="1"/>
  <c r="G37" i="3" s="1"/>
  <c r="I37" i="3" s="1"/>
  <c r="C38" i="3" s="1"/>
  <c r="E38" i="3"/>
  <c r="D38" i="3"/>
  <c r="F38" i="3"/>
  <c r="B38" i="3"/>
  <c r="A39" i="3"/>
  <c r="H38" i="3" l="1"/>
  <c r="G38" i="3" s="1"/>
  <c r="I38" i="3" s="1"/>
  <c r="C39" i="3" s="1"/>
  <c r="D39" i="3"/>
  <c r="E39" i="3"/>
  <c r="F39" i="3"/>
  <c r="B39" i="3"/>
  <c r="A40" i="3"/>
  <c r="H39" i="3" l="1"/>
  <c r="G39" i="3" s="1"/>
  <c r="I39" i="3" s="1"/>
  <c r="C40" i="3" s="1"/>
  <c r="E40" i="3"/>
  <c r="B40" i="3"/>
  <c r="D40" i="3"/>
  <c r="F40" i="3" s="1"/>
  <c r="A41" i="3"/>
  <c r="H40" i="3" l="1"/>
  <c r="G40" i="3" s="1"/>
  <c r="I40" i="3" s="1"/>
  <c r="C41" i="3" s="1"/>
  <c r="B41" i="3"/>
  <c r="D41" i="3"/>
  <c r="E41" i="3"/>
  <c r="F41" i="3" s="1"/>
  <c r="A42" i="3"/>
  <c r="H41" i="3" l="1"/>
  <c r="G41" i="3" s="1"/>
  <c r="I41" i="3" s="1"/>
  <c r="C42" i="3" s="1"/>
  <c r="B42" i="3"/>
  <c r="F42" i="3"/>
  <c r="D42" i="3"/>
  <c r="E42" i="3"/>
  <c r="A43" i="3"/>
  <c r="H42" i="3" l="1"/>
  <c r="G42" i="3" s="1"/>
  <c r="I42" i="3" s="1"/>
  <c r="C43" i="3" s="1"/>
  <c r="B43" i="3"/>
  <c r="D43" i="3"/>
  <c r="F43" i="3" s="1"/>
  <c r="E43" i="3"/>
  <c r="A44" i="3"/>
  <c r="H43" i="3" l="1"/>
  <c r="G43" i="3" s="1"/>
  <c r="I43" i="3" s="1"/>
  <c r="C44" i="3" s="1"/>
  <c r="B44" i="3"/>
  <c r="D44" i="3"/>
  <c r="F44" i="3" s="1"/>
  <c r="E44" i="3"/>
  <c r="A45" i="3"/>
  <c r="H44" i="3" l="1"/>
  <c r="G44" i="3" s="1"/>
  <c r="I44" i="3" s="1"/>
  <c r="C45" i="3" s="1"/>
  <c r="D45" i="3"/>
  <c r="F45" i="3" s="1"/>
  <c r="E45" i="3"/>
  <c r="B45" i="3"/>
  <c r="A46" i="3"/>
  <c r="H45" i="3" l="1"/>
  <c r="G45" i="3" s="1"/>
  <c r="I45" i="3" s="1"/>
  <c r="C46" i="3" s="1"/>
  <c r="E46" i="3"/>
  <c r="D46" i="3"/>
  <c r="F46" i="3"/>
  <c r="B46" i="3"/>
  <c r="A47" i="3"/>
  <c r="H46" i="3" l="1"/>
  <c r="G46" i="3" s="1"/>
  <c r="I46" i="3" s="1"/>
  <c r="C47" i="3" s="1"/>
  <c r="D47" i="3"/>
  <c r="E47" i="3"/>
  <c r="F47" i="3"/>
  <c r="B47" i="3"/>
  <c r="A48" i="3"/>
  <c r="H47" i="3" l="1"/>
  <c r="G47" i="3" s="1"/>
  <c r="I47" i="3" s="1"/>
  <c r="C48" i="3" s="1"/>
  <c r="E48" i="3"/>
  <c r="F48" i="3"/>
  <c r="B48" i="3"/>
  <c r="D48" i="3"/>
  <c r="A49" i="3"/>
  <c r="H48" i="3" l="1"/>
  <c r="G48" i="3" s="1"/>
  <c r="I48" i="3" s="1"/>
  <c r="C49" i="3" s="1"/>
  <c r="F49" i="3"/>
  <c r="D49" i="3"/>
  <c r="E49" i="3"/>
  <c r="B49" i="3"/>
  <c r="A50" i="3"/>
  <c r="H49" i="3" l="1"/>
  <c r="G49" i="3" s="1"/>
  <c r="I49" i="3"/>
  <c r="C50" i="3" s="1"/>
  <c r="B50" i="3"/>
  <c r="E50" i="3"/>
  <c r="F50" i="3"/>
  <c r="D50" i="3"/>
  <c r="A51" i="3"/>
  <c r="H50" i="3" l="1"/>
  <c r="G50" i="3" s="1"/>
  <c r="I50" i="3" s="1"/>
  <c r="C51" i="3" s="1"/>
  <c r="B51" i="3"/>
  <c r="F51" i="3"/>
  <c r="D51" i="3"/>
  <c r="E51" i="3"/>
  <c r="A52" i="3"/>
  <c r="H51" i="3" l="1"/>
  <c r="G51" i="3" s="1"/>
  <c r="I51" i="3" s="1"/>
  <c r="C52" i="3" s="1"/>
  <c r="B52" i="3"/>
  <c r="D52" i="3"/>
  <c r="F52" i="3" s="1"/>
  <c r="E52" i="3"/>
  <c r="A53" i="3"/>
  <c r="H52" i="3" l="1"/>
  <c r="G52" i="3" s="1"/>
  <c r="I52" i="3" s="1"/>
  <c r="C53" i="3" s="1"/>
  <c r="D53" i="3"/>
  <c r="E53" i="3"/>
  <c r="B53" i="3"/>
  <c r="F53" i="3"/>
  <c r="D14" i="3" l="1"/>
  <c r="D15" i="3"/>
  <c r="H53" i="3"/>
  <c r="G53" i="3" s="1"/>
  <c r="I5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 Cook</author>
  </authors>
  <commentList>
    <comment ref="C8" authorId="0" shapeId="0" xr:uid="{00000000-0006-0000-0100-000001000000}">
      <text>
        <r>
          <rPr>
            <sz val="12"/>
            <color theme="1"/>
            <rFont val="Calibri"/>
            <family val="2"/>
            <scheme val="minor"/>
          </rPr>
          <t>J Cook:</t>
        </r>
        <r>
          <rPr>
            <sz val="12"/>
            <color theme="1"/>
            <rFont val="Calibri"/>
            <family val="2"/>
            <scheme val="minor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<sst xmlns="http://schemas.openxmlformats.org/spreadsheetml/2006/main" count="332" uniqueCount="270">
  <si>
    <t>Bav auto clutch kit</t>
  </si>
  <si>
    <t>CK E46 2</t>
  </si>
  <si>
    <t>Driveshaft center bearing</t>
  </si>
  <si>
    <t>26 12 7 501 257</t>
  </si>
  <si>
    <t>314 152 0008</t>
  </si>
  <si>
    <t>Ambient temp sensor</t>
  </si>
  <si>
    <t>VS50368</t>
  </si>
  <si>
    <t>11 42 1 719 855</t>
  </si>
  <si>
    <t>Crush ring</t>
  </si>
  <si>
    <t>32 41 1 093 596</t>
  </si>
  <si>
    <t>Power steering cap o-ring</t>
  </si>
  <si>
    <t>32-41-1-128-333</t>
  </si>
  <si>
    <t>http://forum.e46fanatics.com/showthread.php?t=882732</t>
  </si>
  <si>
    <t>Air filter</t>
  </si>
  <si>
    <t>C25114 1</t>
  </si>
  <si>
    <t>Oil filter</t>
  </si>
  <si>
    <t>HU925 4X</t>
  </si>
  <si>
    <t>Oil filter housing shaft oring</t>
  </si>
  <si>
    <t>11 42 7 549 573</t>
  </si>
  <si>
    <t>Fuel filter with pressure regulator</t>
  </si>
  <si>
    <t>WK532 1</t>
  </si>
  <si>
    <t>Fuel filter installation kit</t>
  </si>
  <si>
    <t>B1300000</t>
  </si>
  <si>
    <t>*** Offer</t>
  </si>
  <si>
    <t>1.  Oil leak</t>
  </si>
  <si>
    <t>2.  Bent wheel</t>
  </si>
  <si>
    <t>3.  Headlight</t>
  </si>
  <si>
    <t>Insurance</t>
  </si>
  <si>
    <t>918/yr, or $76.50 / mo.</t>
  </si>
  <si>
    <t>Safety inspection</t>
  </si>
  <si>
    <t>Yearly car tax</t>
  </si>
  <si>
    <t>Purchase Price</t>
  </si>
  <si>
    <t>Necessity or not (1 / 0)</t>
  </si>
  <si>
    <t>Flex disc</t>
  </si>
  <si>
    <t>Mandatory costs</t>
  </si>
  <si>
    <t>Optional costs</t>
  </si>
  <si>
    <t>AJ</t>
  </si>
  <si>
    <t>1.  How long have you owned it?</t>
  </si>
  <si>
    <t>3 years</t>
  </si>
  <si>
    <t>2.  Has it ever been wrecked / painted?</t>
  </si>
  <si>
    <t>no</t>
  </si>
  <si>
    <t>3.  What all does it need?</t>
  </si>
  <si>
    <t>nothing</t>
  </si>
  <si>
    <t>4.  Why are you selling it?</t>
  </si>
  <si>
    <t>5.  What packages does the car have?  Sport / luxury?  Heated seats, CC, etc…?</t>
  </si>
  <si>
    <t>heated seats, not sure on sport pkg, etc…</t>
  </si>
  <si>
    <t>6.  Do you have the paperwork for the car, window sticker, etc…?</t>
  </si>
  <si>
    <t>Not sure on the new car paperwork…</t>
  </si>
  <si>
    <t>1.  Do you have maintenance records?</t>
  </si>
  <si>
    <t>Yes, some</t>
  </si>
  <si>
    <t>2.  Do you have a clear title for the car?  Is there a lien on it?</t>
  </si>
  <si>
    <t>Yes</t>
  </si>
  <si>
    <t>3.  Are there any mechanical issues that need to be addressed immediately?</t>
  </si>
  <si>
    <t>No</t>
  </si>
  <si>
    <t>4.  Has the VANOS system been worked on?</t>
  </si>
  <si>
    <t>Not sure, but runs fine</t>
  </si>
  <si>
    <t>5.  Does it need exhaust or brake work?</t>
  </si>
  <si>
    <t>No, neither</t>
  </si>
  <si>
    <t>6.  Does the A/C work?</t>
  </si>
  <si>
    <t>7.  Transmission / clutch…  Status on this.</t>
  </si>
  <si>
    <t>All good</t>
  </si>
  <si>
    <t xml:space="preserve">1.  Interior condition - Any tears or bad stains?  </t>
  </si>
  <si>
    <t>Nice</t>
  </si>
  <si>
    <t>2.  Smoker / non-smoker?</t>
  </si>
  <si>
    <t>Non-smoker</t>
  </si>
  <si>
    <t>Yes, no lien</t>
  </si>
  <si>
    <t>Minus reimbursement</t>
  </si>
  <si>
    <t>Net Expense</t>
  </si>
  <si>
    <t>*** Finance net expense over 2 years via borrowing from Joint Acct @</t>
  </si>
  <si>
    <t xml:space="preserve">       5% interest.  Use amortization schedule for this. </t>
  </si>
  <si>
    <t>Valuation - https://www.kbb.com/bmw/3-series/2001/330ci-coupe-2d/?vehicleid=3795&amp;intent=trade-in-sell&amp;mileage=117000&amp;pricetype=private-party&amp;options=145315|true|145384|true|145403|false|145405|true|145323|true|145327|true|6444403|true&amp;condition=very-good</t>
  </si>
  <si>
    <t>Carfax report</t>
  </si>
  <si>
    <t>Enter values</t>
  </si>
  <si>
    <t>Edmunds Valuation</t>
  </si>
  <si>
    <t>Loan amount:</t>
  </si>
  <si>
    <t>Annual interest rate:</t>
  </si>
  <si>
    <t>Loan period in years (1-30):</t>
  </si>
  <si>
    <t>Start date of loan:</t>
  </si>
  <si>
    <t>Optional extra payments:</t>
  </si>
  <si>
    <t>Scheduled monthly payment:</t>
  </si>
  <si>
    <t>Scheduled number of payments:</t>
  </si>
  <si>
    <t>Actual number of payments:</t>
  </si>
  <si>
    <t>Total of early payments:</t>
  </si>
  <si>
    <t>Total interest:</t>
  </si>
  <si>
    <t>No.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</si>
  <si>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</si>
  <si>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</si>
  <si>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</si>
  <si>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</si>
  <si>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</si>
  <si>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</si>
  <si>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</si>
  <si>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</si>
  <si>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Pay Date</t>
  </si>
  <si>
    <t>Notes</t>
  </si>
  <si>
    <t xml:space="preserve"> </t>
  </si>
  <si>
    <t>2001 330Ci Amortization Schedule</t>
  </si>
  <si>
    <t>got it with 85k.  Is the 3rd, owner.  Bought it off second owner, who was a friend of a friend.  Not aware of who the first owner was.</t>
  </si>
  <si>
    <t>Bought a new minivan for growing family, and no room for it.</t>
  </si>
  <si>
    <t>First impressions of looking at the car</t>
  </si>
  <si>
    <t>1.  Has a bent left front wheel.  This is not terrible but will need to be fixed.</t>
  </si>
  <si>
    <t>2.  Car is somewhat dirty but looks really good.  Will need to be cleaned up and clay bar-d.</t>
  </si>
  <si>
    <t>3.  Has mismatching front / rear tires.  Rears are new, so may try to match up the fronts after the wheel is fixed.</t>
  </si>
  <si>
    <t>4.  No CELs or any lights.  Started right up cold, and no issues or noises from motor.</t>
  </si>
  <si>
    <t xml:space="preserve">5.  Oil leak on valve cover. </t>
  </si>
  <si>
    <t>6.  Oil is at correct level.  Does look dirty but no coolant in the crankcase.</t>
  </si>
  <si>
    <t>7.  Looks like it either needs to be run or there is a CCV issue.  Some condensation on the oil fill plug.</t>
  </si>
  <si>
    <t>8.  Interior is dirty but all there.  Has all options.</t>
  </si>
  <si>
    <t>9.  Some small dents in the body that will come out with dent wizard.</t>
  </si>
  <si>
    <t>10.  Some chips on door edges.</t>
  </si>
  <si>
    <t xml:space="preserve">11.  Driver's side door does not look to fit properly.  Not sure what's wrong with it, or if latch is out of adjustment…  </t>
  </si>
  <si>
    <t>12.  No overspray anywhere on the car.  Does not appear to have been painted at all.</t>
  </si>
  <si>
    <t>13.  Shake at highway speed.  May have been tires as car has been sitting, but did seem like it had a shake.  This is why I looked at the wheels, and when I noticed that the LF was bent.</t>
  </si>
  <si>
    <t>14.  Some noise in going in reverse when car was cold.  May have been rear brakes as car has been sitting, but will need to watch this.</t>
  </si>
  <si>
    <t xml:space="preserve">15.  Tricky getting into 3rd gear.  Tight gates, or may possibly need a bit of work on the shifter.  Does not feel like there are any clutch issues. </t>
  </si>
  <si>
    <t>Spark Plugs - Manual calls for NGK BKR 6 EQUP or Bosch FGR 7 DQP</t>
  </si>
  <si>
    <t>Oil filter housing to engine block</t>
  </si>
  <si>
    <t>https://www.bavauto.com/4417-3</t>
  </si>
  <si>
    <t>VIN check fee, money order only</t>
  </si>
  <si>
    <t>Cleanup</t>
  </si>
  <si>
    <t>Lexol cleaner</t>
  </si>
  <si>
    <t>PepBoys, receipt</t>
  </si>
  <si>
    <t>Valve cover gasket - Oil leak repair</t>
  </si>
  <si>
    <t>Koni Yellow front struts</t>
  </si>
  <si>
    <t>https://www.bavauto.com/8741-1390LSPORT</t>
  </si>
  <si>
    <t>Koni Yellow rear struts</t>
  </si>
  <si>
    <t>https://www.bavauto.com/8040-1271sport</t>
  </si>
  <si>
    <t>Super 77</t>
  </si>
  <si>
    <t>Zep high-traffic carpet cleaner</t>
  </si>
  <si>
    <t>Oil - 0w40 Mobil 1 (note - Seller donated 5 quarts, but takes 7quaets to fill</t>
  </si>
  <si>
    <t>$60 per $1000 of value / 12 =&gt;</t>
  </si>
  <si>
    <t>New Car - Compare</t>
  </si>
  <si>
    <t xml:space="preserve"> $-   </t>
  </si>
  <si>
    <t xml:space="preserve"> $-  </t>
  </si>
  <si>
    <t>Budget, minus reimbursement</t>
  </si>
  <si>
    <t>NADA retail of $6000 * .07</t>
  </si>
  <si>
    <t>Sales Tax, title transfer fee, and registration</t>
  </si>
  <si>
    <t>Cover for oil drain plug</t>
  </si>
  <si>
    <t>RealOEM # 51617199687</t>
  </si>
  <si>
    <t>Upper strut bearings</t>
  </si>
  <si>
    <t>Sway bar link</t>
  </si>
  <si>
    <t>Topaz blue touch up paint</t>
  </si>
  <si>
    <t>51 91 0 419 756</t>
  </si>
  <si>
    <t>Al's Muffler and Brakes +1 (401) 942-1617</t>
  </si>
  <si>
    <t>Molding remover tool</t>
  </si>
  <si>
    <t>Pepboys, receipt 1/14/2018</t>
  </si>
  <si>
    <t>Magic eraser</t>
  </si>
  <si>
    <t>Lowe's receipt, 1/17/2018</t>
  </si>
  <si>
    <t>Zep 505 degreaser</t>
  </si>
  <si>
    <t>Home Depot receipt, 1/21/2018</t>
  </si>
  <si>
    <t>PepBoys - 1/14/2018 receipt, Advance Auto 1/06 receipt for single quart</t>
  </si>
  <si>
    <t>Gasket Maker, red - For valve cover R&amp;R</t>
  </si>
  <si>
    <t>Advance Auto receipt, 1/6/18</t>
  </si>
  <si>
    <t>Brakekleen</t>
  </si>
  <si>
    <t>Cabin Air Filter</t>
  </si>
  <si>
    <t>CUK6724</t>
  </si>
  <si>
    <t>Hella Xenon bulbs</t>
  </si>
  <si>
    <t>HLA-H83075001 - Summit Racing</t>
  </si>
  <si>
    <t>Advance Auto parts</t>
  </si>
  <si>
    <t>Brake Caliper Guide Bushing Upgrade Kit</t>
  </si>
  <si>
    <t>cbuk2</t>
  </si>
  <si>
    <t>Front splash pan</t>
  </si>
  <si>
    <t>Kit - Front lower control arms and FCAB - Meyle HD</t>
  </si>
  <si>
    <t>https://www.bavauto.com/31-12-1kit</t>
  </si>
  <si>
    <t>Min. residual value</t>
  </si>
  <si>
    <t xml:space="preserve">*** Budget is the equivalent of a $30K car at 4% interest (see "Compare" worksheet) over a 12 month period, or a total of $4630.  This is not a correct number because the car will have a min. value of $4100, so cost of ownership is going to be parts and labor only, plus all of the insurance and taxes associated with owning the car. </t>
  </si>
  <si>
    <t>Cost of ownership, fees and insurance</t>
  </si>
  <si>
    <t>Cost of Ownership, parts and labor</t>
  </si>
  <si>
    <t>Total Cost of Ownership</t>
  </si>
  <si>
    <t>Cost against new car - # of months payback.  Do not include fees and ins., as they would be the same, or greater, than this car.</t>
  </si>
  <si>
    <t>Wiring harness clips, etc…</t>
  </si>
  <si>
    <t>http://www.realoem.com/bmw/enUS/showparts?id=BN53-USA-03-2001-E46-BMW-330Ci&amp;diagId=61_1993</t>
  </si>
  <si>
    <t>First date car is in service</t>
  </si>
  <si>
    <t>Break-even date</t>
  </si>
  <si>
    <t>Miscellaneous fasteners and pieces to replace.</t>
  </si>
  <si>
    <t>Plastic rivets for undertray</t>
  </si>
  <si>
    <t>Female clip for undertray</t>
  </si>
  <si>
    <t>Part Description</t>
  </si>
  <si>
    <t>Cost each</t>
  </si>
  <si>
    <t>Count</t>
  </si>
  <si>
    <t>Date Ordered</t>
  </si>
  <si>
    <t>Total</t>
  </si>
  <si>
    <t>Part Number</t>
  </si>
  <si>
    <t>Battery clip on shock tower</t>
  </si>
  <si>
    <t>Plastic rivet for cooling fan</t>
  </si>
  <si>
    <t>Zip tie for heater hose</t>
  </si>
  <si>
    <t>Fasteners for trays in trunk</t>
  </si>
  <si>
    <t>Spare tire plastic cover / storage bin</t>
  </si>
  <si>
    <t>OBD2 Fusion software</t>
  </si>
  <si>
    <t>https://www.obdsoftware.net/software/obdfusion</t>
  </si>
  <si>
    <t>http://forum.e46fanatics.com/showthread.php?t=290946&amp;page=2, https://www.obdsoftware.net/software/obdfusion</t>
  </si>
  <si>
    <t>Oring for DISA valve</t>
  </si>
  <si>
    <t>http://forum.e46fanatics.com/showthread.php?t=947620&amp;page=2</t>
  </si>
  <si>
    <t>Build a smoke machine to find vacuum leaks</t>
  </si>
  <si>
    <t>https://www.youtube.com/watch?v=EhNQiIRsCCk</t>
  </si>
  <si>
    <t>OBD2 code scanner and iPhone software</t>
  </si>
  <si>
    <t>Full cooling system rebuild kit</t>
  </si>
  <si>
    <t>E46 COOL MANUAL</t>
  </si>
  <si>
    <t>Motor Mounts (x2)</t>
  </si>
  <si>
    <t>Intake Boot - Air Flow Meter side - Genuine BMW</t>
  </si>
  <si>
    <t>ntake Bellows - Throttle Body to Plastic Coupling - Genuine BMW</t>
  </si>
  <si>
    <t>Transmission mounts</t>
  </si>
  <si>
    <t>Expansion Tank Mounting Bracket - Genuine BMW</t>
  </si>
  <si>
    <t>Days before / past break-even</t>
  </si>
  <si>
    <t>$ before / past break-even</t>
  </si>
  <si>
    <t>TODAY</t>
  </si>
  <si>
    <t>Front Brake Kit - Bav Auto - Brembo</t>
  </si>
  <si>
    <t>Rear Brake Kit - Bav Auto - Brembo</t>
  </si>
  <si>
    <t>4 wheel alignment and tire swap</t>
  </si>
  <si>
    <t>Elring VCG - Second VCG</t>
  </si>
  <si>
    <t>B34000037</t>
  </si>
  <si>
    <t>B34000018</t>
  </si>
  <si>
    <t>ATE Gold Brake fluid</t>
  </si>
  <si>
    <t>ATE GOLD</t>
  </si>
  <si>
    <t>Tie rod, left</t>
  </si>
  <si>
    <t>316 030 0004</t>
  </si>
  <si>
    <t>Tie rod, right</t>
  </si>
  <si>
    <t>316 030 0005</t>
  </si>
  <si>
    <t>Inner tie rod clamp</t>
  </si>
  <si>
    <t>32 13 6 750 081</t>
  </si>
  <si>
    <t>Steering Column Rubber Flex Disc - Genuine BMW</t>
  </si>
  <si>
    <t>32 30 6 752 957</t>
  </si>
  <si>
    <t>Torx Bolt For Steering Coupler - Genuine BMW</t>
  </si>
  <si>
    <t>32 30 6 778 609</t>
  </si>
  <si>
    <t>Price Ea.</t>
  </si>
  <si>
    <t>Bolt - Eight for subframe reinforcement plate</t>
  </si>
  <si>
    <t>install new brake pads</t>
  </si>
  <si>
    <t>Install new brake lines, slider pins, and mounting bracket shims for pins</t>
  </si>
  <si>
    <t>R&amp;R brakes front and rear.  Remove calipers and all brackets, clean up and coat (Loctite extend?)</t>
  </si>
  <si>
    <t>Flush brake fluid with Super Blue</t>
  </si>
  <si>
    <t>Tools Needed</t>
  </si>
  <si>
    <t xml:space="preserve">Repair brake bleeding tank.  Clear rubber hose broke, so need to repair this. </t>
  </si>
  <si>
    <t>Purchase RTABs and decide how you're going to do this.  Just do stock?</t>
  </si>
  <si>
    <t>Set rear shocks to full firm.  Need to remove them to do this</t>
  </si>
  <si>
    <t xml:space="preserve">Rebuild and adjust rear parking brake assys.  Rear parking brake has never worked properly and at one point fell apart. </t>
  </si>
  <si>
    <t xml:space="preserve">Figure out best way to clean up the calipers and brackets. </t>
  </si>
  <si>
    <t>Underhood</t>
  </si>
  <si>
    <t>Replace CCV system - This is already on the shelf waiting for repair</t>
  </si>
  <si>
    <t>Have alternator rebuilt by General Armature</t>
  </si>
  <si>
    <t xml:space="preserve">Replace PS pump, hoses, and reservoir. </t>
  </si>
  <si>
    <t xml:space="preserve">Replace all underhood vacuum hose - Need to get the hose in order to do this. </t>
  </si>
  <si>
    <t xml:space="preserve">Rear muffler </t>
  </si>
  <si>
    <t>3,3X1,8</t>
  </si>
  <si>
    <t>https://www.realoem.com/bmw/enUS/showparts?id=BN53-USA-03-2001-E46-BMW-330Ci&amp;diagId=18_0428</t>
  </si>
  <si>
    <t>Fuel Filter</t>
  </si>
  <si>
    <t>3,5X1,8</t>
  </si>
  <si>
    <t>https://www.realoem.com/bmw/enUS/showparts?id=BN53-USA-03-2001-E46-BMW-330Ci&amp;diagId=13_0904</t>
  </si>
  <si>
    <t>CCV system</t>
  </si>
  <si>
    <t>https://www.realoem.com/bmw/enUS/showparts?id=BN53-USA-03-2001-E46-BMW-330Ci&amp;diagId=11_2194</t>
  </si>
  <si>
    <t>3,5X2,0</t>
  </si>
  <si>
    <t>SAP and Intake manifold hose</t>
  </si>
  <si>
    <t>https://www.realoem.com/bmw/enUS/showparts?id=BN53-USA-03-2001-E46-BMW-330Ci&amp;diagId=11_2203</t>
  </si>
  <si>
    <t>Wrap exhaust manifolds to keep heat away from the valve cover.</t>
  </si>
  <si>
    <t>Task Description</t>
  </si>
  <si>
    <t>Brakes</t>
  </si>
  <si>
    <t>Status</t>
  </si>
  <si>
    <t>DIY Guides</t>
  </si>
  <si>
    <t>Rebuild front and rear brake calipers with rebuid kits already purchased</t>
  </si>
  <si>
    <t xml:space="preserve">2019-01-25 - Adjusted the parking brake cables from the interior and brakes seem to now work great. </t>
  </si>
  <si>
    <t>2020-01-25 - Complete.  Will plan to re-flush prior to any events.</t>
  </si>
  <si>
    <t>Fail - Can thrown in trash.  Used the human method via Miles.</t>
  </si>
  <si>
    <t xml:space="preserve">2020-01-28 - Purchased new RTABs from FCP.  Will install using homemade press. </t>
  </si>
  <si>
    <t>Underbody</t>
  </si>
  <si>
    <t>Change transmission oil</t>
  </si>
  <si>
    <t>Change differential oil</t>
  </si>
  <si>
    <t>Replace transmission mounts - Have on the shelf ready for replacement.</t>
  </si>
  <si>
    <t>Investigate high-speed shake.  Make sure to check all rotating shafts, and also the carrier bearing and guibo.</t>
  </si>
  <si>
    <t>Shore up Suspension</t>
  </si>
  <si>
    <t>Replace front sway bar end links.  End links purchased from BavAuto were shit.</t>
  </si>
  <si>
    <t xml:space="preserve">2020-01-28 - Purchased new end links from FCP.  Will install this weekend when car up in the air for starting the CCV replacement.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</si>
</sst>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00%"/>
  </numFmts>
  <fonts count="2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Helvetica"/>
      <family val="2"/>
    </font>
    <font>
      <b/>
      <i/>
      <sz val="18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23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8"/>
      <color theme="1" tint="4.9989318521683403E-2"/>
      <name val="Calibri"/>
      <family val="2"/>
      <scheme val="minor"/>
    </font>
    <font>
      <sz val="12"/>
      <color rgb="FFFF0000"/>
      <name val="Calibri"/>
      <family val="2"/>
      <charset val="136"/>
      <scheme val="minor"/>
    </font>
    <font>
      <sz val="10"/>
      <name val="Arial"/>
      <family val="2"/>
    </font>
    <font>
      <b/>
      <i/>
      <sz val="18"/>
      <name val="News Gothic MT"/>
      <family val="2"/>
    </font>
    <font>
      <sz val="8"/>
      <name val="News Gothic MT"/>
      <family val="2"/>
    </font>
    <font>
      <sz val="12"/>
      <name val="News Gothic MT"/>
      <family val="2"/>
    </font>
    <font>
      <b/>
      <sz val="12"/>
      <name val="News Gothic MT"/>
      <family val="2"/>
    </font>
    <font>
      <sz val="12"/>
      <color rgb="FF808080"/>
      <name val="News Gothic MT"/>
      <family val="2"/>
    </font>
    <font>
      <sz val="12"/>
      <color rgb="FF0D0D0D"/>
      <name val="News Gothic MT"/>
      <family val="2"/>
    </font>
    <font>
      <sz val="8"/>
      <color rgb="FF0D0D0D"/>
      <name val="News Gothic MT"/>
      <family val="2"/>
    </font>
    <font>
      <b/>
      <u/>
      <sz val="12"/>
      <color theme="1"/>
      <name val="Calibri"/>
      <family val="2"/>
      <scheme val="minor"/>
    </font>
    <font>
      <sz val="13.5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AEAEA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23BC2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/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6">
    <xf numFmtId="0" fontId="0" fillId="0" borderId="0" xfId="0"/>
    <xf numFmtId="164" fontId="0" fillId="0" borderId="0" xfId="0" applyNumberFormat="1"/>
    <xf numFmtId="6" fontId="0" fillId="0" borderId="0" xfId="0" applyNumberFormat="1"/>
    <xf numFmtId="1" fontId="0" fillId="0" borderId="0" xfId="0" applyNumberFormat="1"/>
    <xf numFmtId="165" fontId="0" fillId="0" borderId="0" xfId="0" applyNumberFormat="1"/>
    <xf numFmtId="164" fontId="0" fillId="2" borderId="5" xfId="0" applyNumberFormat="1" applyFill="1" applyBorder="1"/>
    <xf numFmtId="164" fontId="0" fillId="2" borderId="2" xfId="0" applyNumberFormat="1" applyFill="1" applyBorder="1"/>
    <xf numFmtId="164" fontId="0" fillId="2" borderId="3" xfId="0" applyNumberFormat="1" applyFill="1" applyBorder="1"/>
    <xf numFmtId="164" fontId="0" fillId="2" borderId="0" xfId="0" applyNumberFormat="1" applyFill="1" applyBorder="1"/>
    <xf numFmtId="164" fontId="0" fillId="2" borderId="7" xfId="0" applyNumberFormat="1" applyFill="1" applyBorder="1"/>
    <xf numFmtId="164" fontId="0" fillId="2" borderId="8" xfId="0" applyNumberFormat="1" applyFill="1" applyBorder="1"/>
    <xf numFmtId="0" fontId="4" fillId="0" borderId="0" xfId="0" applyFont="1"/>
    <xf numFmtId="164" fontId="0" fillId="2" borderId="10" xfId="0" applyNumberFormat="1" applyFill="1" applyBorder="1"/>
    <xf numFmtId="164" fontId="0" fillId="2" borderId="11" xfId="0" applyNumberFormat="1" applyFill="1" applyBorder="1"/>
    <xf numFmtId="0" fontId="6" fillId="0" borderId="0" xfId="0" applyFont="1" applyBorder="1"/>
    <xf numFmtId="0" fontId="7" fillId="0" borderId="0" xfId="0" applyFont="1" applyBorder="1"/>
    <xf numFmtId="0" fontId="7" fillId="0" borderId="1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44" fontId="7" fillId="0" borderId="14" xfId="0" applyNumberFormat="1" applyFont="1" applyFill="1" applyBorder="1" applyAlignment="1"/>
    <xf numFmtId="166" fontId="7" fillId="0" borderId="14" xfId="0" applyNumberFormat="1" applyFont="1" applyFill="1" applyBorder="1" applyAlignment="1">
      <alignment horizontal="right"/>
    </xf>
    <xf numFmtId="1" fontId="7" fillId="0" borderId="14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NumberFormat="1" applyFont="1" applyBorder="1" applyAlignment="1">
      <alignment horizontal="left"/>
    </xf>
    <xf numFmtId="14" fontId="7" fillId="0" borderId="14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right" indent="1"/>
    </xf>
    <xf numFmtId="14" fontId="7" fillId="0" borderId="12" xfId="0" applyNumberFormat="1" applyFont="1" applyBorder="1" applyAlignment="1">
      <alignment horizontal="left"/>
    </xf>
    <xf numFmtId="14" fontId="7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right" indent="1"/>
    </xf>
    <xf numFmtId="44" fontId="7" fillId="3" borderId="14" xfId="9" applyFont="1" applyFill="1" applyBorder="1" applyAlignment="1"/>
    <xf numFmtId="7" fontId="7" fillId="0" borderId="0" xfId="0" applyNumberFormat="1" applyFont="1" applyFill="1" applyBorder="1" applyAlignment="1">
      <alignment horizontal="left"/>
    </xf>
    <xf numFmtId="1" fontId="7" fillId="3" borderId="14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left"/>
    </xf>
    <xf numFmtId="0" fontId="8" fillId="0" borderId="15" xfId="0" applyFont="1" applyFill="1" applyBorder="1" applyAlignment="1" applyProtection="1">
      <alignment horizontal="right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1" fontId="10" fillId="2" borderId="0" xfId="0" applyNumberFormat="1" applyFont="1" applyFill="1" applyBorder="1" applyAlignment="1">
      <alignment horizontal="right"/>
    </xf>
    <xf numFmtId="14" fontId="10" fillId="2" borderId="0" xfId="0" applyNumberFormat="1" applyFont="1" applyFill="1" applyBorder="1" applyAlignment="1">
      <alignment horizontal="right"/>
    </xf>
    <xf numFmtId="44" fontId="10" fillId="2" borderId="0" xfId="9" applyFont="1" applyFill="1" applyBorder="1" applyAlignment="1">
      <alignment horizontal="right"/>
    </xf>
    <xf numFmtId="44" fontId="10" fillId="4" borderId="0" xfId="9" applyFont="1" applyFill="1" applyBorder="1" applyAlignment="1">
      <alignment horizontal="right"/>
    </xf>
    <xf numFmtId="14" fontId="11" fillId="0" borderId="0" xfId="0" applyNumberFormat="1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/>
    <xf numFmtId="0" fontId="10" fillId="0" borderId="0" xfId="0" applyFont="1" applyBorder="1"/>
    <xf numFmtId="0" fontId="7" fillId="0" borderId="0" xfId="0" applyFont="1" applyBorder="1" applyAlignment="1">
      <alignment horizontal="center"/>
    </xf>
    <xf numFmtId="0" fontId="0" fillId="0" borderId="0" xfId="0" applyAlignment="1">
      <alignment vertical="top" wrapText="1"/>
    </xf>
    <xf numFmtId="6" fontId="0" fillId="0" borderId="0" xfId="0" applyNumberFormat="1" applyAlignment="1">
      <alignment vertical="top" wrapText="1"/>
    </xf>
    <xf numFmtId="0" fontId="0" fillId="0" borderId="0" xfId="0" applyAlignment="1">
      <alignment vertical="center" wrapText="1"/>
    </xf>
    <xf numFmtId="0" fontId="15" fillId="0" borderId="0" xfId="0" applyFont="1"/>
    <xf numFmtId="0" fontId="16" fillId="0" borderId="0" xfId="0" applyFont="1"/>
    <xf numFmtId="0" fontId="16" fillId="0" borderId="16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right" indent="1"/>
    </xf>
    <xf numFmtId="44" fontId="16" fillId="0" borderId="18" xfId="0" applyNumberFormat="1" applyFont="1" applyBorder="1"/>
    <xf numFmtId="6" fontId="13" fillId="0" borderId="0" xfId="0" applyNumberFormat="1" applyFont="1"/>
    <xf numFmtId="166" fontId="16" fillId="0" borderId="19" xfId="0" applyNumberFormat="1" applyFont="1" applyBorder="1" applyAlignment="1">
      <alignment horizontal="right"/>
    </xf>
    <xf numFmtId="1" fontId="16" fillId="0" borderId="19" xfId="0" applyNumberFormat="1" applyFont="1" applyBorder="1" applyAlignment="1">
      <alignment horizontal="right"/>
    </xf>
    <xf numFmtId="0" fontId="18" fillId="0" borderId="0" xfId="0" applyFont="1" applyAlignment="1">
      <alignment horizontal="left"/>
    </xf>
    <xf numFmtId="14" fontId="16" fillId="0" borderId="19" xfId="0" applyNumberFormat="1" applyFont="1" applyBorder="1" applyAlignment="1">
      <alignment horizontal="right"/>
    </xf>
    <xf numFmtId="44" fontId="16" fillId="0" borderId="19" xfId="0" applyNumberFormat="1" applyFont="1" applyBorder="1"/>
    <xf numFmtId="0" fontId="16" fillId="0" borderId="16" xfId="0" applyFont="1" applyBorder="1" applyAlignment="1">
      <alignment horizontal="right" indent="1"/>
    </xf>
    <xf numFmtId="14" fontId="16" fillId="0" borderId="16" xfId="0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44" fontId="16" fillId="5" borderId="18" xfId="0" applyNumberFormat="1" applyFont="1" applyFill="1" applyBorder="1"/>
    <xf numFmtId="7" fontId="16" fillId="0" borderId="0" xfId="0" applyNumberFormat="1" applyFont="1" applyAlignment="1">
      <alignment horizontal="left"/>
    </xf>
    <xf numFmtId="1" fontId="16" fillId="5" borderId="19" xfId="0" applyNumberFormat="1" applyFont="1" applyFill="1" applyBorder="1" applyAlignment="1">
      <alignment horizontal="right"/>
    </xf>
    <xf numFmtId="44" fontId="16" fillId="5" borderId="19" xfId="0" applyNumberFormat="1" applyFont="1" applyFill="1" applyBorder="1"/>
    <xf numFmtId="0" fontId="17" fillId="0" borderId="16" xfId="0" applyFont="1" applyBorder="1" applyAlignment="1">
      <alignment horizontal="right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1" fontId="19" fillId="6" borderId="0" xfId="0" applyNumberFormat="1" applyFont="1" applyFill="1" applyAlignment="1">
      <alignment horizontal="right"/>
    </xf>
    <xf numFmtId="14" fontId="19" fillId="6" borderId="0" xfId="0" applyNumberFormat="1" applyFont="1" applyFill="1" applyAlignment="1">
      <alignment horizontal="right"/>
    </xf>
    <xf numFmtId="44" fontId="19" fillId="6" borderId="0" xfId="0" applyNumberFormat="1" applyFont="1" applyFill="1" applyAlignment="1">
      <alignment horizontal="right"/>
    </xf>
    <xf numFmtId="44" fontId="19" fillId="7" borderId="0" xfId="0" applyNumberFormat="1" applyFont="1" applyFill="1" applyAlignment="1">
      <alignment horizontal="right"/>
    </xf>
    <xf numFmtId="14" fontId="20" fillId="0" borderId="0" xfId="0" applyNumberFormat="1" applyFont="1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19" fillId="0" borderId="0" xfId="0" applyFont="1"/>
    <xf numFmtId="0" fontId="19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44" fontId="0" fillId="2" borderId="20" xfId="0" applyNumberFormat="1" applyFill="1" applyBorder="1"/>
    <xf numFmtId="0" fontId="21" fillId="0" borderId="0" xfId="0" applyFont="1" applyAlignment="1">
      <alignment vertical="top" wrapText="1"/>
    </xf>
    <xf numFmtId="0" fontId="2" fillId="0" borderId="0" xfId="10" applyAlignment="1">
      <alignment vertical="center"/>
    </xf>
    <xf numFmtId="0" fontId="0" fillId="8" borderId="0" xfId="0" applyFill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64" fontId="0" fillId="0" borderId="0" xfId="0" applyNumberFormat="1" applyAlignment="1">
      <alignment vertical="top" wrapText="1"/>
    </xf>
    <xf numFmtId="164" fontId="0" fillId="2" borderId="9" xfId="0" applyNumberFormat="1" applyFill="1" applyBorder="1" applyAlignment="1">
      <alignment vertical="top" wrapText="1"/>
    </xf>
    <xf numFmtId="0" fontId="12" fillId="0" borderId="0" xfId="0" applyFont="1" applyAlignment="1">
      <alignment vertical="top" wrapText="1"/>
    </xf>
    <xf numFmtId="4" fontId="0" fillId="0" borderId="0" xfId="0" applyNumberFormat="1"/>
    <xf numFmtId="0" fontId="0" fillId="9" borderId="0" xfId="0" applyFill="1" applyAlignment="1">
      <alignment vertical="top" wrapText="1"/>
    </xf>
    <xf numFmtId="14" fontId="0" fillId="0" borderId="0" xfId="0" applyNumberFormat="1"/>
    <xf numFmtId="14" fontId="0" fillId="10" borderId="0" xfId="0" applyNumberFormat="1" applyFill="1"/>
    <xf numFmtId="0" fontId="0" fillId="0" borderId="0" xfId="0" applyAlignment="1">
      <alignment horizontal="center"/>
    </xf>
    <xf numFmtId="8" fontId="0" fillId="0" borderId="0" xfId="0" applyNumberFormat="1"/>
    <xf numFmtId="4" fontId="0" fillId="0" borderId="0" xfId="0" applyNumberFormat="1" applyAlignment="1">
      <alignment vertical="top" wrapText="1"/>
    </xf>
    <xf numFmtId="44" fontId="0" fillId="11" borderId="21" xfId="0" applyNumberFormat="1" applyFill="1" applyBorder="1" applyAlignment="1">
      <alignment vertical="top" wrapText="1"/>
    </xf>
    <xf numFmtId="14" fontId="0" fillId="12" borderId="0" xfId="0" applyNumberFormat="1" applyFill="1"/>
    <xf numFmtId="0" fontId="22" fillId="9" borderId="0" xfId="0" applyFont="1" applyFill="1" applyAlignment="1">
      <alignment vertical="center"/>
    </xf>
    <xf numFmtId="0" fontId="22" fillId="8" borderId="0" xfId="0" applyFont="1" applyFill="1" applyAlignment="1">
      <alignment vertical="center"/>
    </xf>
    <xf numFmtId="0" fontId="0" fillId="8" borderId="0" xfId="0" applyFont="1" applyFill="1" applyAlignment="1">
      <alignment vertical="top" wrapText="1"/>
    </xf>
    <xf numFmtId="0" fontId="24" fillId="0" borderId="0" xfId="0" applyFont="1"/>
    <xf numFmtId="0" fontId="2" fillId="0" borderId="0" xfId="10"/>
    <xf numFmtId="0" fontId="23" fillId="0" borderId="0" xfId="0" applyFont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center" vertical="top" wrapText="1"/>
    </xf>
    <xf numFmtId="0" fontId="7" fillId="0" borderId="0" xfId="0" applyFont="1" applyBorder="1" applyAlignment="1">
      <alignment horizontal="right" indent="1"/>
    </xf>
    <xf numFmtId="0" fontId="7" fillId="0" borderId="13" xfId="0" applyFont="1" applyBorder="1" applyAlignment="1">
      <alignment horizontal="right" indent="1"/>
    </xf>
    <xf numFmtId="0" fontId="5" fillId="0" borderId="0" xfId="0" applyFont="1" applyBorder="1" applyAlignment="1">
      <alignment horizontal="left"/>
    </xf>
    <xf numFmtId="7" fontId="9" fillId="0" borderId="0" xfId="0" applyNumberFormat="1" applyFont="1" applyFill="1" applyBorder="1" applyAlignment="1">
      <alignment horizontal="left"/>
    </xf>
    <xf numFmtId="10" fontId="9" fillId="0" borderId="0" xfId="0" applyNumberFormat="1" applyFont="1" applyFill="1" applyBorder="1" applyAlignment="1">
      <alignment horizontal="left"/>
    </xf>
    <xf numFmtId="0" fontId="16" fillId="0" borderId="0" xfId="0" applyFont="1" applyAlignment="1">
      <alignment horizontal="right" indent="1"/>
    </xf>
    <xf numFmtId="0" fontId="16" fillId="0" borderId="17" xfId="0" applyFont="1" applyBorder="1" applyAlignment="1">
      <alignment horizontal="right" indent="1"/>
    </xf>
    <xf numFmtId="0" fontId="14" fillId="0" borderId="0" xfId="0" applyFont="1" applyAlignment="1">
      <alignment horizontal="left"/>
    </xf>
    <xf numFmtId="7" fontId="18" fillId="0" borderId="0" xfId="0" applyNumberFormat="1" applyFont="1" applyAlignment="1">
      <alignment horizontal="left"/>
    </xf>
    <xf numFmtId="10" fontId="18" fillId="0" borderId="0" xfId="0" applyNumberFormat="1" applyFont="1" applyAlignment="1">
      <alignment horizontal="left"/>
    </xf>
    <xf numFmtId="0" fontId="0" fillId="0" borderId="0" xfId="0" applyAlignment="1">
      <alignment horizontal="center"/>
    </xf>
  </cellXfs>
  <cellStyles count="18">
    <cellStyle name="Currency" xfId="9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10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	Principle</c:v>
              </c:pt>
              <c:pt idx="1">
                <c:v>_x0008_Interest</c:v>
              </c:pt>
            </c:strLit>
          </c:cat>
          <c:val>
            <c:numRef>
              <c:f>('[1]Loan Calculator'!$D$4,'[1]Loan Calculator'!$D$15)</c:f>
              <c:numCache>
                <c:formatCode>General</c:formatCode>
                <c:ptCount val="2"/>
                <c:pt idx="0">
                  <c:v>7250</c:v>
                </c:pt>
                <c:pt idx="1">
                  <c:v>455.76008678620178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3-DC47-A72E-003E522EC8E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825500</xdr:colOff>
      <xdr:row>2</xdr:row>
      <xdr:rowOff>76200</xdr:rowOff>
    </xdr:from>
    <xdr:to>
      <xdr:col>8</xdr:col>
      <xdr:colOff>457200</xdr:colOff>
      <xdr:row>15</xdr:row>
      <xdr:rowOff>292100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8</xdr:col>
      <xdr:colOff>342900</xdr:colOff>
      <xdr:row>16</xdr:row>
      <xdr:rowOff>76200</xdr:rowOff>
    </xdr:to>
    <xdr:pic>
      <xdr:nvPicPr>
        <xdr:cNvPr id="6145" name="Picture 1" descr="clip_image001.png">
          <a:extLst>
            <a:ext uri="{FF2B5EF4-FFF2-40B4-BE49-F238E27FC236}">
              <a16:creationId xmlns:a16="http://schemas.microsoft.com/office/drawing/2014/main" id="{00000000-0008-0000-03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8900" y="495300"/>
          <a:ext cx="3644900" cy="292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hn/Personal%20Items/2007%20GTI%20Sale%20to%20Jeff/2007%20GTI%20Payment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Calculator"/>
    </sheetNames>
    <sheetDataSet>
      <sheetData sheetId="0">
        <row r="4">
          <cell r="D4">
            <v>7250</v>
          </cell>
        </row>
        <row r="15">
          <cell r="D15">
            <v>455.76008678620178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bavauto.com/cbuk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aloem.com/bmw/enUS/showparts?id=BN53-USA-03-2001-E46-BMW-330Ci&amp;diagId=11_2194" TargetMode="External"/><Relationship Id="rId2" Type="http://schemas.openxmlformats.org/officeDocument/2006/relationships/hyperlink" Target="https://www.realoem.com/bmw/enUS/showparts?id=BN53-USA-03-2001-E46-BMW-330Ci&amp;diagId=13_0904" TargetMode="External"/><Relationship Id="rId1" Type="http://schemas.openxmlformats.org/officeDocument/2006/relationships/hyperlink" Target="https://www.realoem.com/bmw/enUS/showparts?id=BN53-USA-03-2001-E46-BMW-330Ci&amp;diagId=18_0428" TargetMode="External"/><Relationship Id="rId4" Type="http://schemas.openxmlformats.org/officeDocument/2006/relationships/hyperlink" Target="https://www.realoem.com/bmw/enUS/showparts?id=BN53-USA-03-2001-E46-BMW-330Ci&amp;diagId=11_2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topLeftCell="A18" workbookViewId="0">
      <selection activeCell="A38" sqref="A38"/>
    </sheetView>
  </sheetViews>
  <sheetFormatPr baseColWidth="10" defaultRowHeight="16"/>
  <cols>
    <col min="1" max="1" width="68.83203125" customWidth="1"/>
    <col min="2" max="2" width="19.6640625" customWidth="1"/>
    <col min="3" max="3" width="16.33203125" customWidth="1"/>
  </cols>
  <sheetData>
    <row r="1" spans="1:3">
      <c r="A1" s="11">
        <v>8608108405</v>
      </c>
      <c r="C1" t="s">
        <v>36</v>
      </c>
    </row>
    <row r="3" spans="1:3">
      <c r="A3" t="s">
        <v>37</v>
      </c>
      <c r="B3" t="s">
        <v>38</v>
      </c>
      <c r="C3" t="s">
        <v>97</v>
      </c>
    </row>
    <row r="4" spans="1:3">
      <c r="A4" t="s">
        <v>39</v>
      </c>
      <c r="B4" t="s">
        <v>40</v>
      </c>
    </row>
    <row r="5" spans="1:3">
      <c r="A5" t="s">
        <v>41</v>
      </c>
      <c r="B5" t="s">
        <v>42</v>
      </c>
    </row>
    <row r="6" spans="1:3">
      <c r="A6" t="s">
        <v>43</v>
      </c>
      <c r="C6" t="s">
        <v>98</v>
      </c>
    </row>
    <row r="7" spans="1:3">
      <c r="A7" t="s">
        <v>44</v>
      </c>
      <c r="B7" t="s">
        <v>45</v>
      </c>
    </row>
    <row r="8" spans="1:3">
      <c r="A8" t="s">
        <v>46</v>
      </c>
      <c r="B8" t="s">
        <v>47</v>
      </c>
    </row>
    <row r="10" spans="1:3">
      <c r="A10" t="s">
        <v>48</v>
      </c>
      <c r="B10" t="s">
        <v>49</v>
      </c>
    </row>
    <row r="11" spans="1:3">
      <c r="A11" t="s">
        <v>50</v>
      </c>
      <c r="B11" t="s">
        <v>65</v>
      </c>
    </row>
    <row r="12" spans="1:3">
      <c r="A12" t="s">
        <v>52</v>
      </c>
      <c r="B12" t="s">
        <v>53</v>
      </c>
    </row>
    <row r="13" spans="1:3">
      <c r="A13" t="s">
        <v>54</v>
      </c>
      <c r="B13" t="s">
        <v>55</v>
      </c>
    </row>
    <row r="14" spans="1:3">
      <c r="A14" t="s">
        <v>56</v>
      </c>
      <c r="B14" t="s">
        <v>57</v>
      </c>
    </row>
    <row r="15" spans="1:3">
      <c r="A15" t="s">
        <v>58</v>
      </c>
      <c r="B15" t="s">
        <v>51</v>
      </c>
    </row>
    <row r="16" spans="1:3">
      <c r="A16" t="s">
        <v>59</v>
      </c>
      <c r="B16" t="s">
        <v>60</v>
      </c>
    </row>
    <row r="18" spans="1:2">
      <c r="A18" t="s">
        <v>61</v>
      </c>
      <c r="B18" t="s">
        <v>62</v>
      </c>
    </row>
    <row r="19" spans="1:2">
      <c r="A19" t="s">
        <v>63</v>
      </c>
      <c r="B19" t="s">
        <v>64</v>
      </c>
    </row>
    <row r="22" spans="1:2">
      <c r="A22" t="s">
        <v>99</v>
      </c>
    </row>
    <row r="23" spans="1:2">
      <c r="A23" t="s">
        <v>100</v>
      </c>
    </row>
    <row r="24" spans="1:2">
      <c r="A24" t="s">
        <v>101</v>
      </c>
    </row>
    <row r="25" spans="1:2">
      <c r="A25" t="s">
        <v>102</v>
      </c>
    </row>
    <row r="26" spans="1:2">
      <c r="A26" t="s">
        <v>103</v>
      </c>
    </row>
    <row r="27" spans="1:2">
      <c r="A27" t="s">
        <v>104</v>
      </c>
    </row>
    <row r="28" spans="1:2">
      <c r="A28" t="s">
        <v>105</v>
      </c>
    </row>
    <row r="29" spans="1:2">
      <c r="A29" t="s">
        <v>106</v>
      </c>
    </row>
    <row r="30" spans="1:2">
      <c r="A30" t="s">
        <v>107</v>
      </c>
    </row>
    <row r="31" spans="1:2">
      <c r="A31" t="s">
        <v>108</v>
      </c>
    </row>
    <row r="32" spans="1:2">
      <c r="A32" t="s">
        <v>109</v>
      </c>
    </row>
    <row r="33" spans="1:1">
      <c r="A33" t="s">
        <v>110</v>
      </c>
    </row>
    <row r="34" spans="1:1">
      <c r="A34" t="s">
        <v>111</v>
      </c>
    </row>
    <row r="35" spans="1:1">
      <c r="A35" t="s">
        <v>112</v>
      </c>
    </row>
    <row r="36" spans="1:1">
      <c r="A36" t="s">
        <v>113</v>
      </c>
    </row>
    <row r="37" spans="1:1">
      <c r="A37" t="s">
        <v>114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5"/>
  <sheetViews>
    <sheetView topLeftCell="D18" workbookViewId="0">
      <selection activeCell="K34" sqref="K34"/>
    </sheetView>
  </sheetViews>
  <sheetFormatPr baseColWidth="10" defaultRowHeight="16"/>
  <cols>
    <col min="1" max="1" width="60" customWidth="1"/>
    <col min="2" max="2" width="14.1640625" customWidth="1"/>
    <col min="4" max="4" width="6.83203125" customWidth="1"/>
    <col min="5" max="5" width="13.33203125" customWidth="1"/>
    <col min="6" max="6" width="19.83203125" style="3" bestFit="1" customWidth="1"/>
    <col min="7" max="7" width="19.1640625" customWidth="1"/>
    <col min="9" max="9" width="48.6640625" style="49" customWidth="1"/>
    <col min="10" max="10" width="14.5" customWidth="1"/>
  </cols>
  <sheetData>
    <row r="1" spans="1:11" ht="17" thickBot="1"/>
    <row r="2" spans="1:11" ht="17">
      <c r="I2" s="91" t="s">
        <v>31</v>
      </c>
      <c r="J2" s="6">
        <v>4100</v>
      </c>
      <c r="K2" s="7"/>
    </row>
    <row r="3" spans="1:11" ht="17">
      <c r="I3" s="92" t="s">
        <v>34</v>
      </c>
      <c r="J3" s="8">
        <f>F4</f>
        <v>3403.35</v>
      </c>
      <c r="K3" s="5"/>
    </row>
    <row r="4" spans="1:11" ht="17">
      <c r="E4" s="1">
        <f>SUM(E8:E139)</f>
        <v>4084.8100000000009</v>
      </c>
      <c r="F4" s="4">
        <f>SUMIF(F8:F76,1,E8:E76)</f>
        <v>3403.35</v>
      </c>
      <c r="I4" s="92" t="s">
        <v>35</v>
      </c>
      <c r="J4" s="8"/>
      <c r="K4" s="5">
        <f>E4-F4</f>
        <v>681.46000000000095</v>
      </c>
    </row>
    <row r="5" spans="1:11">
      <c r="I5" s="92"/>
      <c r="J5" s="8"/>
      <c r="K5" s="5"/>
    </row>
    <row r="6" spans="1:11" ht="17" thickBot="1">
      <c r="A6" t="s">
        <v>12</v>
      </c>
      <c r="I6" s="93"/>
      <c r="J6" s="9">
        <f>SUM(J2:J3)</f>
        <v>7503.35</v>
      </c>
      <c r="K6" s="10">
        <f>SUM(J2,J3,K4)</f>
        <v>8184.8100000000013</v>
      </c>
    </row>
    <row r="7" spans="1:11">
      <c r="D7" t="s">
        <v>179</v>
      </c>
      <c r="E7" t="s">
        <v>224</v>
      </c>
      <c r="F7" s="3" t="s">
        <v>32</v>
      </c>
    </row>
    <row r="8" spans="1:11" ht="17">
      <c r="A8" s="49" t="s">
        <v>0</v>
      </c>
      <c r="B8" s="49" t="s">
        <v>1</v>
      </c>
      <c r="C8">
        <v>368.53</v>
      </c>
      <c r="D8">
        <v>1</v>
      </c>
      <c r="E8" s="1">
        <f>SUM(C8*D8)</f>
        <v>368.53</v>
      </c>
      <c r="F8" s="3">
        <v>0</v>
      </c>
      <c r="G8" s="1" t="s">
        <v>23</v>
      </c>
      <c r="I8" s="94" t="s">
        <v>66</v>
      </c>
      <c r="J8" s="1">
        <v>2000</v>
      </c>
      <c r="K8" s="1">
        <v>2000</v>
      </c>
    </row>
    <row r="9" spans="1:11" ht="18" thickBot="1">
      <c r="A9" s="49" t="s">
        <v>2</v>
      </c>
      <c r="B9" s="49" t="s">
        <v>3</v>
      </c>
      <c r="C9">
        <v>90.57</v>
      </c>
      <c r="D9">
        <v>1</v>
      </c>
      <c r="E9" s="1">
        <f t="shared" ref="E9:E75" si="0">SUM(C9*D9)</f>
        <v>90.57</v>
      </c>
      <c r="F9" s="3">
        <v>0</v>
      </c>
      <c r="G9" s="1" t="s">
        <v>24</v>
      </c>
      <c r="H9" s="2">
        <v>250</v>
      </c>
      <c r="I9" s="94"/>
      <c r="J9" s="1"/>
      <c r="K9" s="1"/>
    </row>
    <row r="10" spans="1:11" ht="18" thickBot="1">
      <c r="A10" s="49" t="s">
        <v>33</v>
      </c>
      <c r="B10" s="49" t="s">
        <v>4</v>
      </c>
      <c r="C10">
        <v>40.46</v>
      </c>
      <c r="D10">
        <v>1</v>
      </c>
      <c r="E10" s="1">
        <f t="shared" si="0"/>
        <v>40.46</v>
      </c>
      <c r="F10" s="3">
        <v>0</v>
      </c>
      <c r="G10" s="1" t="s">
        <v>25</v>
      </c>
      <c r="H10" s="2">
        <v>125</v>
      </c>
      <c r="I10" s="95" t="s">
        <v>67</v>
      </c>
      <c r="J10" s="12">
        <f>SUM(J6-J8)</f>
        <v>5503.35</v>
      </c>
      <c r="K10" s="13">
        <f>SUM(K6-K8)</f>
        <v>6184.8100000000013</v>
      </c>
    </row>
    <row r="11" spans="1:11" ht="17">
      <c r="A11" s="90" t="s">
        <v>5</v>
      </c>
      <c r="B11" s="49"/>
      <c r="C11" s="102">
        <v>16.920000000000002</v>
      </c>
      <c r="D11">
        <v>1</v>
      </c>
      <c r="E11" s="1">
        <f t="shared" si="0"/>
        <v>16.920000000000002</v>
      </c>
      <c r="F11" s="3">
        <v>1</v>
      </c>
      <c r="G11" s="1" t="s">
        <v>26</v>
      </c>
      <c r="H11" s="2">
        <v>250</v>
      </c>
    </row>
    <row r="12" spans="1:11" ht="17">
      <c r="A12" s="90" t="s">
        <v>122</v>
      </c>
      <c r="B12" s="49" t="s">
        <v>6</v>
      </c>
      <c r="C12">
        <v>22.95</v>
      </c>
      <c r="D12">
        <v>1</v>
      </c>
      <c r="E12" s="1">
        <f t="shared" si="0"/>
        <v>22.95</v>
      </c>
      <c r="F12" s="3">
        <v>1</v>
      </c>
      <c r="G12" s="1"/>
    </row>
    <row r="13" spans="1:11" ht="34">
      <c r="A13" s="98" t="s">
        <v>116</v>
      </c>
      <c r="B13" s="49" t="s">
        <v>7</v>
      </c>
      <c r="C13">
        <v>5.61</v>
      </c>
      <c r="D13">
        <v>1</v>
      </c>
      <c r="E13" s="1">
        <f t="shared" si="0"/>
        <v>5.61</v>
      </c>
      <c r="F13" s="3">
        <v>1</v>
      </c>
      <c r="G13" s="1"/>
      <c r="I13" s="49" t="s">
        <v>68</v>
      </c>
    </row>
    <row r="14" spans="1:11" ht="17">
      <c r="A14" s="49" t="s">
        <v>8</v>
      </c>
      <c r="B14" s="49" t="s">
        <v>9</v>
      </c>
      <c r="C14">
        <v>1.25</v>
      </c>
      <c r="D14">
        <v>2</v>
      </c>
      <c r="E14" s="1">
        <f t="shared" si="0"/>
        <v>2.5</v>
      </c>
      <c r="F14" s="3">
        <v>1</v>
      </c>
      <c r="G14" s="1"/>
      <c r="I14" s="49" t="s">
        <v>69</v>
      </c>
    </row>
    <row r="15" spans="1:11" ht="17">
      <c r="A15" s="90" t="s">
        <v>209</v>
      </c>
      <c r="B15">
        <v>326.56</v>
      </c>
      <c r="C15">
        <v>15.92</v>
      </c>
      <c r="D15">
        <v>1</v>
      </c>
      <c r="E15" s="1">
        <f t="shared" si="0"/>
        <v>15.92</v>
      </c>
      <c r="F15" s="3">
        <v>1</v>
      </c>
    </row>
    <row r="16" spans="1:11" ht="34">
      <c r="A16" s="90" t="s">
        <v>10</v>
      </c>
      <c r="B16" s="49" t="s">
        <v>11</v>
      </c>
      <c r="C16">
        <v>5.82</v>
      </c>
      <c r="D16">
        <v>1</v>
      </c>
      <c r="E16" s="1">
        <f t="shared" si="0"/>
        <v>5.82</v>
      </c>
      <c r="F16" s="3">
        <v>1</v>
      </c>
    </row>
    <row r="17" spans="1:11" ht="119">
      <c r="A17" s="90" t="s">
        <v>115</v>
      </c>
      <c r="B17" s="49" t="s">
        <v>117</v>
      </c>
      <c r="C17">
        <v>5.95</v>
      </c>
      <c r="D17">
        <v>6</v>
      </c>
      <c r="E17" s="1">
        <f t="shared" si="0"/>
        <v>35.700000000000003</v>
      </c>
      <c r="F17" s="3">
        <v>1</v>
      </c>
      <c r="I17" s="49" t="s">
        <v>70</v>
      </c>
    </row>
    <row r="18" spans="1:11" ht="17">
      <c r="A18" s="90" t="s">
        <v>13</v>
      </c>
      <c r="B18" s="49" t="s">
        <v>14</v>
      </c>
      <c r="C18">
        <v>10.94</v>
      </c>
      <c r="D18">
        <v>1</v>
      </c>
      <c r="E18" s="1">
        <f t="shared" si="0"/>
        <v>10.94</v>
      </c>
      <c r="F18" s="3">
        <v>1</v>
      </c>
    </row>
    <row r="19" spans="1:11" ht="120" thickBot="1">
      <c r="A19" s="90" t="s">
        <v>15</v>
      </c>
      <c r="B19" s="49" t="s">
        <v>16</v>
      </c>
      <c r="C19">
        <v>4.95</v>
      </c>
      <c r="D19">
        <v>1</v>
      </c>
      <c r="E19" s="1">
        <f t="shared" si="0"/>
        <v>4.95</v>
      </c>
      <c r="F19" s="3">
        <v>1</v>
      </c>
      <c r="I19" s="96" t="s">
        <v>165</v>
      </c>
    </row>
    <row r="20" spans="1:11" ht="18" thickBot="1">
      <c r="A20" s="98" t="s">
        <v>17</v>
      </c>
      <c r="B20" s="49" t="s">
        <v>18</v>
      </c>
      <c r="C20">
        <v>2.62</v>
      </c>
      <c r="D20">
        <v>2</v>
      </c>
      <c r="E20" s="1">
        <f t="shared" si="0"/>
        <v>5.24</v>
      </c>
      <c r="F20" s="3">
        <v>1</v>
      </c>
      <c r="I20" s="49" t="s">
        <v>134</v>
      </c>
      <c r="J20" s="87">
        <f>SUM('New Car - Compare'!F18:F29)-'Expense Sheet'!J8</f>
        <v>4630</v>
      </c>
    </row>
    <row r="21" spans="1:11" ht="17">
      <c r="A21" s="90" t="s">
        <v>154</v>
      </c>
      <c r="B21" t="s">
        <v>155</v>
      </c>
      <c r="C21">
        <v>16.149999999999999</v>
      </c>
      <c r="D21">
        <v>1</v>
      </c>
      <c r="E21" s="1">
        <f t="shared" si="0"/>
        <v>16.149999999999999</v>
      </c>
      <c r="F21" s="3">
        <v>1</v>
      </c>
    </row>
    <row r="22" spans="1:11" ht="17">
      <c r="A22" s="98" t="s">
        <v>19</v>
      </c>
      <c r="B22" s="49" t="s">
        <v>20</v>
      </c>
      <c r="C22" s="102">
        <v>54.95</v>
      </c>
      <c r="D22">
        <v>1</v>
      </c>
      <c r="E22" s="1">
        <f t="shared" si="0"/>
        <v>54.95</v>
      </c>
      <c r="F22" s="3">
        <v>1</v>
      </c>
    </row>
    <row r="23" spans="1:11" ht="17">
      <c r="A23" s="98" t="s">
        <v>21</v>
      </c>
      <c r="B23" s="49" t="s">
        <v>22</v>
      </c>
      <c r="C23" s="102">
        <v>16.399999999999999</v>
      </c>
      <c r="D23">
        <v>1</v>
      </c>
      <c r="E23" s="1">
        <f t="shared" si="0"/>
        <v>16.399999999999999</v>
      </c>
      <c r="F23" s="3">
        <v>1</v>
      </c>
    </row>
    <row r="24" spans="1:11" ht="17">
      <c r="A24" s="90" t="s">
        <v>156</v>
      </c>
      <c r="B24" t="s">
        <v>157</v>
      </c>
      <c r="C24" s="51">
        <v>56.09</v>
      </c>
      <c r="D24">
        <v>2</v>
      </c>
      <c r="E24" s="1">
        <f t="shared" si="0"/>
        <v>112.18</v>
      </c>
      <c r="F24" s="3">
        <v>1</v>
      </c>
      <c r="I24" s="49" t="s">
        <v>164</v>
      </c>
      <c r="J24" s="1">
        <v>4100</v>
      </c>
    </row>
    <row r="25" spans="1:11" ht="102">
      <c r="A25" s="90" t="s">
        <v>129</v>
      </c>
      <c r="B25" s="49" t="s">
        <v>150</v>
      </c>
      <c r="C25">
        <v>9.9499999999999993</v>
      </c>
      <c r="D25">
        <v>3</v>
      </c>
      <c r="E25" s="1">
        <f t="shared" si="0"/>
        <v>29.849999999999998</v>
      </c>
      <c r="F25" s="3">
        <v>1</v>
      </c>
      <c r="I25" s="49" t="s">
        <v>167</v>
      </c>
      <c r="J25" s="1">
        <f>SUM(J6-J24)</f>
        <v>3403.3500000000004</v>
      </c>
    </row>
    <row r="26" spans="1:11" ht="51">
      <c r="A26" s="90" t="s">
        <v>123</v>
      </c>
      <c r="B26" s="49" t="s">
        <v>124</v>
      </c>
      <c r="C26">
        <v>197.2</v>
      </c>
      <c r="D26">
        <v>2</v>
      </c>
      <c r="E26" s="1">
        <f t="shared" si="0"/>
        <v>394.4</v>
      </c>
      <c r="F26" s="3">
        <v>1</v>
      </c>
      <c r="I26" s="49" t="s">
        <v>166</v>
      </c>
      <c r="J26" s="1">
        <f>SUM(E53,E54,E56,E57)</f>
        <v>654.99</v>
      </c>
    </row>
    <row r="27" spans="1:11" ht="17">
      <c r="A27" s="90" t="s">
        <v>139</v>
      </c>
      <c r="B27" s="49"/>
      <c r="C27">
        <v>17.95</v>
      </c>
      <c r="D27">
        <v>2</v>
      </c>
      <c r="E27" s="1">
        <f t="shared" si="0"/>
        <v>35.9</v>
      </c>
      <c r="F27" s="3">
        <v>1</v>
      </c>
      <c r="I27" s="49" t="s">
        <v>168</v>
      </c>
      <c r="J27" s="1">
        <f>SUM(J25:J26)</f>
        <v>4058.34</v>
      </c>
    </row>
    <row r="28" spans="1:11" ht="51">
      <c r="A28" s="90" t="s">
        <v>140</v>
      </c>
      <c r="B28">
        <v>52501</v>
      </c>
      <c r="C28">
        <v>9.9499999999999993</v>
      </c>
      <c r="D28">
        <v>2</v>
      </c>
      <c r="E28" s="1">
        <f t="shared" si="0"/>
        <v>19.899999999999999</v>
      </c>
      <c r="F28" s="3">
        <v>1</v>
      </c>
      <c r="I28" s="49" t="s">
        <v>169</v>
      </c>
      <c r="J28" s="97">
        <f>SUM(J25/'New Car - Compare'!D18)</f>
        <v>6.1599095022624439</v>
      </c>
      <c r="K28">
        <f>J28*30</f>
        <v>184.7972850678733</v>
      </c>
    </row>
    <row r="29" spans="1:11" ht="51">
      <c r="A29" s="90" t="s">
        <v>125</v>
      </c>
      <c r="B29" s="49" t="s">
        <v>126</v>
      </c>
      <c r="C29">
        <v>122.96</v>
      </c>
      <c r="D29">
        <v>2</v>
      </c>
      <c r="E29" s="1">
        <f t="shared" si="0"/>
        <v>245.92</v>
      </c>
      <c r="F29" s="3">
        <v>1</v>
      </c>
      <c r="J29" s="1"/>
    </row>
    <row r="30" spans="1:11" ht="51">
      <c r="A30" s="90" t="s">
        <v>162</v>
      </c>
      <c r="B30" s="49" t="s">
        <v>163</v>
      </c>
      <c r="C30">
        <v>269.85000000000002</v>
      </c>
      <c r="D30">
        <v>1</v>
      </c>
      <c r="E30" s="1">
        <f t="shared" si="0"/>
        <v>269.85000000000002</v>
      </c>
      <c r="F30" s="3">
        <v>1</v>
      </c>
      <c r="I30" s="49" t="s">
        <v>172</v>
      </c>
      <c r="J30" s="99">
        <v>43132</v>
      </c>
      <c r="K30" t="s">
        <v>205</v>
      </c>
    </row>
    <row r="31" spans="1:11" ht="17">
      <c r="A31" s="90" t="s">
        <v>196</v>
      </c>
      <c r="B31" t="s">
        <v>197</v>
      </c>
      <c r="C31">
        <v>332.52</v>
      </c>
      <c r="D31">
        <v>1</v>
      </c>
      <c r="E31" s="1">
        <f t="shared" si="0"/>
        <v>332.52</v>
      </c>
      <c r="F31" s="3">
        <v>1</v>
      </c>
      <c r="I31" s="49" t="s">
        <v>173</v>
      </c>
      <c r="J31" s="105">
        <f>SUM(J30+K28)</f>
        <v>43316.797285067871</v>
      </c>
      <c r="K31" s="100">
        <f ca="1">TODAY()</f>
        <v>43859</v>
      </c>
    </row>
    <row r="32" spans="1:11" ht="34">
      <c r="A32" s="49" t="s">
        <v>137</v>
      </c>
      <c r="B32" s="49" t="s">
        <v>138</v>
      </c>
      <c r="C32">
        <v>5.82</v>
      </c>
      <c r="D32">
        <v>1</v>
      </c>
      <c r="E32" s="1">
        <f t="shared" si="0"/>
        <v>5.82</v>
      </c>
      <c r="F32" s="3">
        <v>0</v>
      </c>
      <c r="J32" s="1"/>
    </row>
    <row r="33" spans="1:11" ht="51">
      <c r="A33" s="108" t="s">
        <v>214</v>
      </c>
      <c r="B33" t="s">
        <v>215</v>
      </c>
      <c r="C33" s="102">
        <v>49.46</v>
      </c>
      <c r="D33">
        <v>1</v>
      </c>
      <c r="E33" s="1">
        <f t="shared" si="0"/>
        <v>49.46</v>
      </c>
      <c r="F33" s="3">
        <v>1</v>
      </c>
      <c r="J33" s="103" t="s">
        <v>203</v>
      </c>
      <c r="K33" s="49" t="s">
        <v>204</v>
      </c>
    </row>
    <row r="34" spans="1:11" ht="17">
      <c r="A34" s="108" t="s">
        <v>216</v>
      </c>
      <c r="B34" t="s">
        <v>217</v>
      </c>
      <c r="C34">
        <v>37.76</v>
      </c>
      <c r="D34">
        <v>1</v>
      </c>
      <c r="E34" s="1">
        <f t="shared" si="0"/>
        <v>37.76</v>
      </c>
      <c r="F34" s="3">
        <v>1</v>
      </c>
      <c r="J34" s="49">
        <f ca="1">SUM(K31-J31)</f>
        <v>542.20271493212931</v>
      </c>
      <c r="K34" s="104">
        <f ca="1">SUM('New Car - Compare'!D18/30)*J34</f>
        <v>9985.5666666667148</v>
      </c>
    </row>
    <row r="35" spans="1:11" ht="17">
      <c r="A35" s="108" t="s">
        <v>218</v>
      </c>
      <c r="B35" t="s">
        <v>219</v>
      </c>
      <c r="C35" s="102">
        <v>4.88</v>
      </c>
      <c r="D35">
        <v>2</v>
      </c>
      <c r="E35" s="1">
        <f t="shared" si="0"/>
        <v>9.76</v>
      </c>
      <c r="F35" s="3">
        <v>1</v>
      </c>
      <c r="J35" s="1"/>
    </row>
    <row r="36" spans="1:11" ht="19">
      <c r="A36" s="107" t="s">
        <v>220</v>
      </c>
      <c r="B36" t="s">
        <v>221</v>
      </c>
      <c r="C36">
        <v>61.4</v>
      </c>
      <c r="D36">
        <v>1</v>
      </c>
      <c r="E36" s="1">
        <f t="shared" si="0"/>
        <v>61.4</v>
      </c>
      <c r="F36" s="3">
        <v>1</v>
      </c>
      <c r="J36" s="1"/>
    </row>
    <row r="37" spans="1:11" ht="19">
      <c r="A37" s="107" t="s">
        <v>222</v>
      </c>
      <c r="B37" t="s">
        <v>223</v>
      </c>
      <c r="C37" s="102">
        <v>1.7</v>
      </c>
      <c r="D37">
        <v>2</v>
      </c>
      <c r="E37" s="1">
        <f t="shared" si="0"/>
        <v>3.4</v>
      </c>
      <c r="F37" s="3">
        <v>1</v>
      </c>
      <c r="J37" s="1"/>
    </row>
    <row r="38" spans="1:11" ht="17">
      <c r="A38" s="108" t="s">
        <v>141</v>
      </c>
      <c r="B38" t="s">
        <v>142</v>
      </c>
      <c r="C38">
        <v>27</v>
      </c>
      <c r="D38">
        <v>1</v>
      </c>
      <c r="E38" s="1">
        <f t="shared" si="0"/>
        <v>27</v>
      </c>
      <c r="F38" s="3">
        <v>1</v>
      </c>
      <c r="J38" s="1"/>
    </row>
    <row r="39" spans="1:11" ht="51">
      <c r="A39" s="90" t="s">
        <v>198</v>
      </c>
      <c r="B39" s="49" t="s">
        <v>143</v>
      </c>
      <c r="C39" s="102">
        <v>37.950000000000003</v>
      </c>
      <c r="D39">
        <v>2</v>
      </c>
      <c r="E39" s="1">
        <f t="shared" si="0"/>
        <v>75.900000000000006</v>
      </c>
      <c r="F39" s="3">
        <v>1</v>
      </c>
      <c r="J39" s="1"/>
    </row>
    <row r="40" spans="1:11" ht="17">
      <c r="A40" s="98" t="s">
        <v>201</v>
      </c>
      <c r="B40" s="49"/>
      <c r="C40" s="102">
        <v>6.95</v>
      </c>
      <c r="D40">
        <v>2</v>
      </c>
      <c r="E40" s="1">
        <f t="shared" si="0"/>
        <v>13.9</v>
      </c>
      <c r="F40" s="3">
        <v>1</v>
      </c>
      <c r="J40" s="1"/>
    </row>
    <row r="41" spans="1:11" ht="19">
      <c r="A41" s="106" t="s">
        <v>199</v>
      </c>
      <c r="B41" s="49"/>
      <c r="C41" s="102">
        <v>31.31</v>
      </c>
      <c r="D41">
        <v>1</v>
      </c>
      <c r="E41" s="1">
        <f t="shared" si="0"/>
        <v>31.31</v>
      </c>
      <c r="F41" s="3">
        <v>1</v>
      </c>
    </row>
    <row r="42" spans="1:11" ht="19">
      <c r="A42" s="106" t="s">
        <v>200</v>
      </c>
      <c r="B42" s="49"/>
      <c r="C42" s="102">
        <v>15.39</v>
      </c>
      <c r="D42">
        <v>1</v>
      </c>
      <c r="E42" s="1">
        <f t="shared" si="0"/>
        <v>15.39</v>
      </c>
      <c r="F42" s="3">
        <v>1</v>
      </c>
    </row>
    <row r="43" spans="1:11" ht="17">
      <c r="A43" s="90" t="s">
        <v>225</v>
      </c>
      <c r="B43" s="49"/>
      <c r="C43" s="102">
        <v>2.88</v>
      </c>
      <c r="D43">
        <v>8</v>
      </c>
      <c r="E43" s="1">
        <f t="shared" si="0"/>
        <v>23.04</v>
      </c>
      <c r="F43" s="3">
        <v>1</v>
      </c>
    </row>
    <row r="44" spans="1:11" ht="17">
      <c r="A44" s="90" t="s">
        <v>206</v>
      </c>
      <c r="B44" t="s">
        <v>210</v>
      </c>
      <c r="C44">
        <v>190.84</v>
      </c>
      <c r="D44">
        <v>1</v>
      </c>
      <c r="E44" s="1">
        <f t="shared" si="0"/>
        <v>190.84</v>
      </c>
      <c r="F44" s="3">
        <v>1</v>
      </c>
    </row>
    <row r="45" spans="1:11" ht="17">
      <c r="A45" s="90" t="s">
        <v>207</v>
      </c>
      <c r="B45" t="s">
        <v>211</v>
      </c>
      <c r="C45">
        <v>177.26</v>
      </c>
      <c r="D45">
        <v>1</v>
      </c>
      <c r="E45" s="1">
        <f t="shared" si="0"/>
        <v>177.26</v>
      </c>
      <c r="F45" s="3">
        <v>1</v>
      </c>
    </row>
    <row r="46" spans="1:11" ht="17">
      <c r="A46" s="98" t="s">
        <v>212</v>
      </c>
      <c r="B46" t="s">
        <v>213</v>
      </c>
      <c r="C46">
        <v>11.95</v>
      </c>
      <c r="D46">
        <v>1</v>
      </c>
      <c r="E46" s="1">
        <f t="shared" si="0"/>
        <v>11.95</v>
      </c>
      <c r="F46" s="3">
        <v>1</v>
      </c>
    </row>
    <row r="47" spans="1:11">
      <c r="A47" s="89" t="s">
        <v>159</v>
      </c>
      <c r="B47" t="s">
        <v>160</v>
      </c>
      <c r="C47">
        <v>49.79</v>
      </c>
      <c r="D47">
        <v>2</v>
      </c>
      <c r="E47" s="1">
        <f t="shared" si="0"/>
        <v>99.58</v>
      </c>
      <c r="F47" s="3">
        <v>0</v>
      </c>
    </row>
    <row r="48" spans="1:11" ht="17">
      <c r="A48" s="90" t="s">
        <v>161</v>
      </c>
      <c r="C48" s="102">
        <v>56.37</v>
      </c>
      <c r="D48">
        <v>1</v>
      </c>
      <c r="E48" s="1">
        <f t="shared" si="0"/>
        <v>56.37</v>
      </c>
      <c r="F48" s="3">
        <v>1</v>
      </c>
    </row>
    <row r="49" spans="1:6" ht="19">
      <c r="A49" s="107" t="s">
        <v>202</v>
      </c>
      <c r="C49" s="102">
        <v>60.68</v>
      </c>
      <c r="D49">
        <v>1</v>
      </c>
      <c r="E49" s="1">
        <f t="shared" si="0"/>
        <v>60.68</v>
      </c>
      <c r="F49" s="3">
        <v>1</v>
      </c>
    </row>
    <row r="50" spans="1:6" ht="19">
      <c r="A50" s="107" t="s">
        <v>208</v>
      </c>
      <c r="C50" s="102">
        <v>174.32</v>
      </c>
      <c r="D50">
        <v>1</v>
      </c>
      <c r="E50" s="1">
        <f>SUM(C50*D50)</f>
        <v>174.32</v>
      </c>
      <c r="F50" s="3">
        <v>1</v>
      </c>
    </row>
    <row r="51" spans="1:6" ht="17">
      <c r="A51" s="49" t="s">
        <v>170</v>
      </c>
      <c r="B51" t="s">
        <v>171</v>
      </c>
      <c r="C51">
        <v>0.57999999999999996</v>
      </c>
      <c r="D51">
        <v>4</v>
      </c>
      <c r="E51" s="1">
        <f t="shared" si="0"/>
        <v>2.3199999999999998</v>
      </c>
      <c r="F51" s="3">
        <v>1</v>
      </c>
    </row>
    <row r="52" spans="1:6" ht="34">
      <c r="A52" s="49" t="s">
        <v>27</v>
      </c>
      <c r="B52" s="49" t="s">
        <v>28</v>
      </c>
      <c r="C52">
        <v>76.5</v>
      </c>
      <c r="D52">
        <v>1</v>
      </c>
      <c r="E52" s="1">
        <f t="shared" si="0"/>
        <v>76.5</v>
      </c>
      <c r="F52" s="3">
        <v>0</v>
      </c>
    </row>
    <row r="53" spans="1:6" ht="34">
      <c r="A53" s="49" t="s">
        <v>136</v>
      </c>
      <c r="B53" s="49" t="s">
        <v>135</v>
      </c>
      <c r="C53">
        <v>545</v>
      </c>
      <c r="D53">
        <v>1</v>
      </c>
      <c r="E53" s="1">
        <f t="shared" si="0"/>
        <v>545</v>
      </c>
      <c r="F53" s="3">
        <v>1</v>
      </c>
    </row>
    <row r="54" spans="1:6" ht="17">
      <c r="A54" s="49" t="s">
        <v>29</v>
      </c>
      <c r="B54" s="50"/>
      <c r="C54" s="2">
        <v>55</v>
      </c>
      <c r="D54">
        <v>1</v>
      </c>
      <c r="E54" s="1">
        <f t="shared" si="0"/>
        <v>55</v>
      </c>
      <c r="F54" s="3">
        <v>1</v>
      </c>
    </row>
    <row r="55" spans="1:6" ht="34">
      <c r="A55" s="49" t="s">
        <v>30</v>
      </c>
      <c r="B55" s="49" t="s">
        <v>130</v>
      </c>
      <c r="C55" s="2">
        <f>SUM(303/12)</f>
        <v>25.25</v>
      </c>
      <c r="D55">
        <v>1</v>
      </c>
      <c r="E55" s="1">
        <f t="shared" si="0"/>
        <v>25.25</v>
      </c>
      <c r="F55" s="3">
        <v>1</v>
      </c>
    </row>
    <row r="56" spans="1:6">
      <c r="A56" t="s">
        <v>71</v>
      </c>
      <c r="C56">
        <v>39.99</v>
      </c>
      <c r="D56">
        <v>1</v>
      </c>
      <c r="E56" s="1">
        <f t="shared" si="0"/>
        <v>39.99</v>
      </c>
      <c r="F56" s="3">
        <v>1</v>
      </c>
    </row>
    <row r="57" spans="1:6" ht="17">
      <c r="A57" s="49" t="s">
        <v>118</v>
      </c>
      <c r="C57">
        <v>15</v>
      </c>
      <c r="D57">
        <v>1</v>
      </c>
      <c r="E57" s="1">
        <f t="shared" si="0"/>
        <v>15</v>
      </c>
      <c r="F57" s="3">
        <v>1</v>
      </c>
    </row>
    <row r="58" spans="1:6">
      <c r="E58" s="1"/>
    </row>
    <row r="59" spans="1:6">
      <c r="E59" s="1"/>
    </row>
    <row r="60" spans="1:6" ht="17">
      <c r="A60" s="88" t="s">
        <v>119</v>
      </c>
      <c r="E60" s="1">
        <f t="shared" si="0"/>
        <v>0</v>
      </c>
    </row>
    <row r="61" spans="1:6">
      <c r="A61" t="s">
        <v>120</v>
      </c>
      <c r="B61" t="s">
        <v>121</v>
      </c>
      <c r="C61">
        <v>10.75</v>
      </c>
      <c r="D61">
        <v>1</v>
      </c>
      <c r="E61" s="1">
        <f t="shared" si="0"/>
        <v>10.75</v>
      </c>
      <c r="F61" s="3">
        <v>1</v>
      </c>
    </row>
    <row r="62" spans="1:6" ht="17">
      <c r="A62" s="49" t="s">
        <v>127</v>
      </c>
      <c r="E62" s="1">
        <f t="shared" si="0"/>
        <v>0</v>
      </c>
    </row>
    <row r="63" spans="1:6">
      <c r="A63" t="s">
        <v>128</v>
      </c>
      <c r="E63" s="1">
        <f t="shared" si="0"/>
        <v>0</v>
      </c>
    </row>
    <row r="64" spans="1:6">
      <c r="A64" t="s">
        <v>144</v>
      </c>
      <c r="B64" t="s">
        <v>145</v>
      </c>
      <c r="C64">
        <v>14.99</v>
      </c>
      <c r="D64">
        <v>1</v>
      </c>
      <c r="E64" s="1">
        <f t="shared" si="0"/>
        <v>14.99</v>
      </c>
      <c r="F64" s="3">
        <v>1</v>
      </c>
    </row>
    <row r="65" spans="1:6">
      <c r="A65" t="s">
        <v>146</v>
      </c>
      <c r="B65" t="s">
        <v>147</v>
      </c>
      <c r="C65">
        <v>3.98</v>
      </c>
      <c r="D65">
        <v>1</v>
      </c>
      <c r="E65" s="1">
        <f t="shared" si="0"/>
        <v>3.98</v>
      </c>
      <c r="F65" s="3">
        <v>1</v>
      </c>
    </row>
    <row r="66" spans="1:6">
      <c r="A66" t="s">
        <v>148</v>
      </c>
      <c r="B66" t="s">
        <v>149</v>
      </c>
      <c r="C66">
        <v>3.98</v>
      </c>
      <c r="D66">
        <v>1</v>
      </c>
      <c r="E66" s="1">
        <f t="shared" si="0"/>
        <v>3.98</v>
      </c>
      <c r="F66" s="3">
        <v>1</v>
      </c>
    </row>
    <row r="67" spans="1:6">
      <c r="A67" t="s">
        <v>151</v>
      </c>
      <c r="B67" t="s">
        <v>152</v>
      </c>
      <c r="C67">
        <v>7.99</v>
      </c>
      <c r="D67">
        <v>1</v>
      </c>
      <c r="E67" s="1">
        <f t="shared" si="0"/>
        <v>7.99</v>
      </c>
      <c r="F67" s="3">
        <v>1</v>
      </c>
    </row>
    <row r="68" spans="1:6">
      <c r="A68" t="s">
        <v>153</v>
      </c>
      <c r="B68" t="s">
        <v>158</v>
      </c>
      <c r="C68">
        <v>4.79</v>
      </c>
      <c r="D68">
        <v>1</v>
      </c>
      <c r="E68" s="1">
        <f t="shared" si="0"/>
        <v>4.79</v>
      </c>
      <c r="F68" s="3">
        <v>1</v>
      </c>
    </row>
    <row r="69" spans="1:6">
      <c r="E69" s="1">
        <f t="shared" si="0"/>
        <v>0</v>
      </c>
    </row>
    <row r="70" spans="1:6">
      <c r="E70" s="1">
        <f t="shared" si="0"/>
        <v>0</v>
      </c>
    </row>
    <row r="71" spans="1:6">
      <c r="E71" s="1">
        <f t="shared" si="0"/>
        <v>0</v>
      </c>
    </row>
    <row r="72" spans="1:6">
      <c r="E72" s="1">
        <f t="shared" si="0"/>
        <v>0</v>
      </c>
    </row>
    <row r="73" spans="1:6">
      <c r="E73" s="1">
        <f t="shared" si="0"/>
        <v>0</v>
      </c>
    </row>
    <row r="74" spans="1:6">
      <c r="E74" s="1">
        <f t="shared" si="0"/>
        <v>0</v>
      </c>
    </row>
    <row r="75" spans="1:6">
      <c r="E75" s="1">
        <f t="shared" si="0"/>
        <v>0</v>
      </c>
    </row>
  </sheetData>
  <hyperlinks>
    <hyperlink ref="A47" r:id="rId1" tooltip="Brake Caliper Guide Bushing Upgrade Kit" xr:uid="{00000000-0004-0000-0100-000000000000}"/>
  </hyperlinks>
  <pageMargins left="0.75" right="0.75" top="1" bottom="1" header="0.5" footer="0.5"/>
  <pageSetup orientation="portrait" horizontalDpi="4294967292" verticalDpi="4294967292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3"/>
  <sheetViews>
    <sheetView workbookViewId="0">
      <selection activeCell="D5" sqref="D5"/>
    </sheetView>
  </sheetViews>
  <sheetFormatPr baseColWidth="10" defaultColWidth="9.1640625" defaultRowHeight="16"/>
  <cols>
    <col min="1" max="1" width="5.33203125" style="48" customWidth="1"/>
    <col min="2" max="2" width="14.5" style="48" customWidth="1"/>
    <col min="3" max="3" width="13.5" style="48" customWidth="1"/>
    <col min="4" max="4" width="14.6640625" style="48" customWidth="1"/>
    <col min="5" max="5" width="12.83203125" style="48" customWidth="1"/>
    <col min="6" max="6" width="13.1640625" style="48" customWidth="1"/>
    <col min="7" max="8" width="13" style="48" customWidth="1"/>
    <col min="9" max="9" width="15.5" style="48" customWidth="1"/>
    <col min="10" max="10" width="9.6640625" style="14" bestFit="1" customWidth="1"/>
    <col min="11" max="11" width="34.6640625" style="14" customWidth="1"/>
    <col min="12" max="16384" width="9.1640625" style="15"/>
  </cols>
  <sheetData>
    <row r="1" spans="1:13" ht="33" customHeight="1">
      <c r="A1" s="117" t="s">
        <v>96</v>
      </c>
      <c r="B1" s="117"/>
      <c r="C1" s="117"/>
      <c r="D1" s="117"/>
      <c r="E1" s="117"/>
      <c r="F1" s="117"/>
      <c r="G1" s="117"/>
      <c r="H1" s="117"/>
      <c r="I1" s="117"/>
    </row>
    <row r="2" spans="1:13" ht="4.5" customHeight="1">
      <c r="A2" s="16"/>
      <c r="B2" s="16"/>
      <c r="C2" s="16"/>
      <c r="D2" s="16"/>
      <c r="E2" s="16"/>
      <c r="F2" s="16"/>
      <c r="G2" s="16"/>
      <c r="H2" s="16"/>
      <c r="I2" s="16"/>
    </row>
    <row r="3" spans="1:13" ht="19.5" customHeight="1">
      <c r="A3" s="17"/>
      <c r="B3" s="17"/>
      <c r="C3" s="17"/>
      <c r="D3" s="18" t="s">
        <v>72</v>
      </c>
      <c r="E3" s="17"/>
      <c r="F3" s="19"/>
      <c r="G3" s="19"/>
      <c r="H3" s="17"/>
      <c r="I3" s="17"/>
      <c r="L3" s="15" t="s">
        <v>73</v>
      </c>
    </row>
    <row r="4" spans="1:13">
      <c r="A4" s="115" t="s">
        <v>74</v>
      </c>
      <c r="B4" s="115"/>
      <c r="C4" s="116"/>
      <c r="D4" s="20">
        <f>'Expense Sheet'!J27</f>
        <v>4058.34</v>
      </c>
      <c r="E4" s="17"/>
      <c r="F4" s="118"/>
      <c r="G4" s="118"/>
      <c r="H4" s="118"/>
      <c r="I4" s="118"/>
      <c r="M4" s="2">
        <v>5050</v>
      </c>
    </row>
    <row r="5" spans="1:13">
      <c r="A5" s="115" t="s">
        <v>75</v>
      </c>
      <c r="B5" s="115"/>
      <c r="C5" s="116"/>
      <c r="D5" s="21">
        <v>0.04</v>
      </c>
      <c r="E5" s="17"/>
      <c r="F5" s="119"/>
      <c r="G5" s="119"/>
      <c r="H5" s="119"/>
      <c r="I5" s="119"/>
    </row>
    <row r="6" spans="1:13">
      <c r="A6" s="115" t="s">
        <v>76</v>
      </c>
      <c r="B6" s="115"/>
      <c r="C6" s="116"/>
      <c r="D6" s="22">
        <v>1</v>
      </c>
      <c r="E6" s="17"/>
      <c r="F6" s="23"/>
      <c r="G6" s="24"/>
      <c r="H6" s="17"/>
      <c r="I6" s="25"/>
    </row>
    <row r="7" spans="1:13">
      <c r="A7" s="115" t="s">
        <v>77</v>
      </c>
      <c r="B7" s="115"/>
      <c r="C7" s="116"/>
      <c r="D7" s="26">
        <v>43101</v>
      </c>
      <c r="E7" s="17"/>
      <c r="F7" s="23"/>
      <c r="G7" s="24"/>
      <c r="H7" s="17"/>
      <c r="I7" s="25"/>
    </row>
    <row r="8" spans="1:13">
      <c r="A8" s="115" t="s">
        <v>78</v>
      </c>
      <c r="B8" s="115"/>
      <c r="C8" s="116"/>
      <c r="D8" s="20">
        <v>0</v>
      </c>
      <c r="E8" s="17"/>
      <c r="F8" s="23"/>
      <c r="G8" s="24"/>
      <c r="H8" s="17"/>
      <c r="I8" s="25"/>
    </row>
    <row r="9" spans="1:13">
      <c r="A9" s="27"/>
      <c r="B9" s="27"/>
      <c r="C9" s="27"/>
      <c r="D9" s="28"/>
      <c r="E9" s="17"/>
      <c r="F9" s="29"/>
      <c r="G9" s="29"/>
      <c r="H9" s="17"/>
      <c r="I9" s="25"/>
    </row>
    <row r="10" spans="1:13">
      <c r="A10" s="30"/>
      <c r="B10" s="30"/>
      <c r="C10" s="30"/>
      <c r="D10" s="17"/>
      <c r="E10" s="17"/>
      <c r="F10" s="17"/>
      <c r="G10" s="17"/>
      <c r="H10" s="17"/>
      <c r="I10" s="25"/>
    </row>
    <row r="11" spans="1:13">
      <c r="A11" s="115" t="s">
        <v>79</v>
      </c>
      <c r="B11" s="115"/>
      <c r="C11" s="116"/>
      <c r="D11" s="31">
        <f>IF(Values_Entered,-PMT(Interest_Rate/12,Loan_Years*12,Loan_Amount),"")</f>
        <v>345.56726219300054</v>
      </c>
      <c r="E11" s="17"/>
      <c r="F11" s="32"/>
      <c r="G11" s="32"/>
      <c r="H11" s="17"/>
      <c r="I11" s="25"/>
    </row>
    <row r="12" spans="1:13" ht="14.25" customHeight="1">
      <c r="A12" s="115" t="s">
        <v>80</v>
      </c>
      <c r="B12" s="115"/>
      <c r="C12" s="116"/>
      <c r="D12" s="33">
        <v>12</v>
      </c>
      <c r="E12" s="17"/>
      <c r="F12" s="32"/>
      <c r="G12" s="32"/>
      <c r="H12" s="17"/>
      <c r="I12" s="25"/>
    </row>
    <row r="13" spans="1:13">
      <c r="A13" s="115" t="s">
        <v>81</v>
      </c>
      <c r="B13" s="115"/>
      <c r="C13" s="116"/>
      <c r="D13" s="33">
        <v>12</v>
      </c>
      <c r="E13" s="17"/>
      <c r="F13" s="34"/>
      <c r="G13" s="34"/>
      <c r="H13" s="17"/>
      <c r="I13" s="25"/>
    </row>
    <row r="14" spans="1:13">
      <c r="A14" s="115" t="s">
        <v>82</v>
      </c>
      <c r="B14" s="115"/>
      <c r="C14" s="116"/>
      <c r="D14" s="31">
        <f>IF(Values_Entered,SUMIF(Beg_Bal,"&gt;0",Extra_Pay),"")</f>
        <v>0</v>
      </c>
      <c r="E14" s="17"/>
      <c r="F14" s="34"/>
      <c r="G14" s="34"/>
      <c r="H14" s="17"/>
      <c r="I14" s="25"/>
    </row>
    <row r="15" spans="1:13">
      <c r="A15" s="115" t="s">
        <v>83</v>
      </c>
      <c r="B15" s="115"/>
      <c r="C15" s="116"/>
      <c r="D15" s="31">
        <f>IF(Values_Entered,SUMIF(Beg_Bal,"&gt;0",Int),"")</f>
        <v>88.467146316006492</v>
      </c>
      <c r="E15" s="17"/>
      <c r="F15" s="32"/>
      <c r="G15" s="32"/>
      <c r="H15" s="17"/>
      <c r="I15" s="25"/>
    </row>
    <row r="16" spans="1:13" ht="26" customHeight="1">
      <c r="A16" s="16"/>
      <c r="B16" s="16"/>
      <c r="C16" s="16"/>
      <c r="D16" s="16"/>
      <c r="E16" s="28"/>
      <c r="F16" s="28"/>
      <c r="G16" s="28"/>
      <c r="H16" s="16"/>
      <c r="I16" s="16"/>
    </row>
    <row r="17" spans="1:11" s="37" customFormat="1" ht="34">
      <c r="A17" s="35" t="s">
        <v>84</v>
      </c>
      <c r="B17" s="35" t="s">
        <v>85</v>
      </c>
      <c r="C17" s="35" t="s">
        <v>86</v>
      </c>
      <c r="D17" s="35" t="s">
        <v>87</v>
      </c>
      <c r="E17" s="35" t="s">
        <v>88</v>
      </c>
      <c r="F17" s="35" t="s">
        <v>89</v>
      </c>
      <c r="G17" s="35" t="s">
        <v>90</v>
      </c>
      <c r="H17" s="35" t="s">
        <v>91</v>
      </c>
      <c r="I17" s="35" t="s">
        <v>92</v>
      </c>
      <c r="J17" s="36" t="s">
        <v>93</v>
      </c>
      <c r="K17" s="36" t="s">
        <v>94</v>
      </c>
    </row>
    <row r="18" spans="1:11" s="44" customFormat="1">
      <c r="A18" s="38">
        <f>IF(Values_Entered,1,"")</f>
        <v>1</v>
      </c>
      <c r="B18" s="39">
        <f>IF(Pay_Num&lt;&gt;"",Loan_Start,"")</f>
        <v>43101</v>
      </c>
      <c r="C18" s="40">
        <f>IF(Values_Entered,Loan_Amount,"")</f>
        <v>4058.34</v>
      </c>
      <c r="D18" s="40">
        <f>IF(Pay_Num&lt;&gt;"",Scheduled_Monthly_Payment,"")</f>
        <v>345.56726219300054</v>
      </c>
      <c r="E18" s="41">
        <f>IF(Pay_Num&lt;&gt;"",Scheduled_Extra_Payments,"")</f>
        <v>0</v>
      </c>
      <c r="F18" s="40">
        <f>IF(Pay_Num&lt;&gt;"",Sched_Pay+Extra_Pay,"")</f>
        <v>345.56726219300054</v>
      </c>
      <c r="G18" s="40">
        <f>IF(Pay_Num&lt;&gt;"",Total_Pay-Int,"")</f>
        <v>332.03946219300053</v>
      </c>
      <c r="H18" s="40">
        <f>IF(Pay_Num&lt;&gt;"",Beg_Bal*Interest_Rate/12,"")</f>
        <v>13.527800000000001</v>
      </c>
      <c r="I18" s="40">
        <f>IF(Pay_Num&lt;&gt;"",Beg_Bal-Princ,"")</f>
        <v>3726.3005378069997</v>
      </c>
      <c r="J18" s="42" t="s">
        <v>95</v>
      </c>
      <c r="K18" s="43"/>
    </row>
    <row r="19" spans="1:11" s="44" customFormat="1">
      <c r="A19" s="38">
        <f t="shared" ref="A19:A53" si="0">IF(Values_Entered,A18+1,"")</f>
        <v>2</v>
      </c>
      <c r="B19" s="39">
        <f t="shared" ref="B19:B53" si="1">IF(Pay_Num&lt;&gt;"",DATE(YEAR(B18),MONTH(B18)+1,DAY(B18)),"")</f>
        <v>43132</v>
      </c>
      <c r="C19" s="40">
        <f>IF(Pay_Num&lt;&gt;"",I18,"")</f>
        <v>3726.3005378069997</v>
      </c>
      <c r="D19" s="40">
        <f>IF(Pay_Num&lt;&gt;"",Scheduled_Monthly_Payment,"")</f>
        <v>345.56726219300054</v>
      </c>
      <c r="E19" s="41">
        <f>IF(Pay_Num&lt;&gt;"",Scheduled_Extra_Payments,"")</f>
        <v>0</v>
      </c>
      <c r="F19" s="40">
        <f t="shared" ref="F19:F53" si="2">IF(Pay_Num&lt;&gt;"",Sched_Pay+Extra_Pay,"")</f>
        <v>345.56726219300054</v>
      </c>
      <c r="G19" s="40">
        <f t="shared" ref="G19:G53" si="3">IF(Pay_Num&lt;&gt;"",Total_Pay-Int,"")</f>
        <v>333.14626040031055</v>
      </c>
      <c r="H19" s="40">
        <f>IF(Pay_Num&lt;&gt;"",Beg_Bal*Interest_Rate/12,"")</f>
        <v>12.421001792689999</v>
      </c>
      <c r="I19" s="40">
        <f t="shared" ref="I19:I53" si="4">IF(Pay_Num&lt;&gt;"",Beg_Bal-Princ,"")</f>
        <v>3393.1542774066893</v>
      </c>
      <c r="J19" s="42" t="s">
        <v>95</v>
      </c>
      <c r="K19" s="45" t="s">
        <v>95</v>
      </c>
    </row>
    <row r="20" spans="1:11" s="44" customFormat="1">
      <c r="A20" s="38">
        <f t="shared" si="0"/>
        <v>3</v>
      </c>
      <c r="B20" s="39">
        <f t="shared" si="1"/>
        <v>43160</v>
      </c>
      <c r="C20" s="40">
        <f t="shared" ref="C20:C53" si="5">IF(Pay_Num&lt;&gt;"",I19,"")</f>
        <v>3393.1542774066893</v>
      </c>
      <c r="D20" s="40">
        <f t="shared" ref="D20:D53" si="6">IF(Pay_Num&lt;&gt;"",Scheduled_Monthly_Payment,"")</f>
        <v>345.56726219300054</v>
      </c>
      <c r="E20" s="41">
        <v>0</v>
      </c>
      <c r="F20" s="40">
        <f t="shared" si="2"/>
        <v>345.56726219300054</v>
      </c>
      <c r="G20" s="40">
        <f t="shared" si="3"/>
        <v>334.25674793497825</v>
      </c>
      <c r="H20" s="40">
        <f t="shared" ref="H20:H53" si="7">IF(Pay_Num&lt;&gt;"",Beg_Bal*Interest_Rate/12,"")</f>
        <v>11.310514258022296</v>
      </c>
      <c r="I20" s="40">
        <f t="shared" si="4"/>
        <v>3058.8975294717111</v>
      </c>
      <c r="J20" s="43"/>
      <c r="K20" s="43"/>
    </row>
    <row r="21" spans="1:11" s="44" customFormat="1">
      <c r="A21" s="38">
        <f t="shared" si="0"/>
        <v>4</v>
      </c>
      <c r="B21" s="39">
        <f t="shared" si="1"/>
        <v>43191</v>
      </c>
      <c r="C21" s="40">
        <f t="shared" si="5"/>
        <v>3058.8975294717111</v>
      </c>
      <c r="D21" s="40">
        <f t="shared" si="6"/>
        <v>345.56726219300054</v>
      </c>
      <c r="E21" s="41">
        <f t="shared" ref="E21:E53" si="8">IF(Pay_Num&lt;&gt;"",Scheduled_Extra_Payments,"")</f>
        <v>0</v>
      </c>
      <c r="F21" s="40">
        <f t="shared" si="2"/>
        <v>345.56726219300054</v>
      </c>
      <c r="G21" s="40">
        <f t="shared" si="3"/>
        <v>335.37093709476153</v>
      </c>
      <c r="H21" s="40">
        <f t="shared" si="7"/>
        <v>10.196325098239038</v>
      </c>
      <c r="I21" s="40">
        <f t="shared" si="4"/>
        <v>2723.5265923769493</v>
      </c>
      <c r="J21" s="43"/>
      <c r="K21" s="43"/>
    </row>
    <row r="22" spans="1:11" s="44" customFormat="1">
      <c r="A22" s="38">
        <f t="shared" si="0"/>
        <v>5</v>
      </c>
      <c r="B22" s="39">
        <f t="shared" si="1"/>
        <v>43221</v>
      </c>
      <c r="C22" s="40">
        <f t="shared" si="5"/>
        <v>2723.5265923769493</v>
      </c>
      <c r="D22" s="40">
        <f t="shared" si="6"/>
        <v>345.56726219300054</v>
      </c>
      <c r="E22" s="41">
        <f t="shared" si="8"/>
        <v>0</v>
      </c>
      <c r="F22" s="40">
        <f t="shared" si="2"/>
        <v>345.56726219300054</v>
      </c>
      <c r="G22" s="40">
        <f t="shared" si="3"/>
        <v>336.4888402184107</v>
      </c>
      <c r="H22" s="40">
        <f t="shared" si="7"/>
        <v>9.0784219745898316</v>
      </c>
      <c r="I22" s="40">
        <f t="shared" si="4"/>
        <v>2387.0377521585388</v>
      </c>
      <c r="J22" s="43"/>
      <c r="K22" s="43"/>
    </row>
    <row r="23" spans="1:11" s="47" customFormat="1">
      <c r="A23" s="38">
        <f t="shared" si="0"/>
        <v>6</v>
      </c>
      <c r="B23" s="39">
        <f t="shared" si="1"/>
        <v>43252</v>
      </c>
      <c r="C23" s="40">
        <f>IF(Pay_Num&lt;&gt;"",I22,"")</f>
        <v>2387.0377521585388</v>
      </c>
      <c r="D23" s="40">
        <f t="shared" si="6"/>
        <v>345.56726219300054</v>
      </c>
      <c r="E23" s="41">
        <f t="shared" si="8"/>
        <v>0</v>
      </c>
      <c r="F23" s="40">
        <f t="shared" si="2"/>
        <v>345.56726219300054</v>
      </c>
      <c r="G23" s="40">
        <f t="shared" si="3"/>
        <v>337.61046968580541</v>
      </c>
      <c r="H23" s="40">
        <f t="shared" si="7"/>
        <v>7.9567925071951295</v>
      </c>
      <c r="I23" s="40">
        <f t="shared" si="4"/>
        <v>2049.4272824727332</v>
      </c>
      <c r="J23" s="46"/>
      <c r="K23" s="46"/>
    </row>
    <row r="24" spans="1:11" s="47" customFormat="1">
      <c r="A24" s="38">
        <f t="shared" si="0"/>
        <v>7</v>
      </c>
      <c r="B24" s="39">
        <f t="shared" si="1"/>
        <v>43282</v>
      </c>
      <c r="C24" s="40">
        <f t="shared" si="5"/>
        <v>2049.4272824727332</v>
      </c>
      <c r="D24" s="40">
        <f t="shared" si="6"/>
        <v>345.56726219300054</v>
      </c>
      <c r="E24" s="41">
        <f t="shared" si="8"/>
        <v>0</v>
      </c>
      <c r="F24" s="40">
        <f t="shared" si="2"/>
        <v>345.56726219300054</v>
      </c>
      <c r="G24" s="40">
        <f t="shared" si="3"/>
        <v>338.73583791809142</v>
      </c>
      <c r="H24" s="40">
        <f t="shared" si="7"/>
        <v>6.8314242749091107</v>
      </c>
      <c r="I24" s="40">
        <f t="shared" si="4"/>
        <v>1710.6914445546417</v>
      </c>
      <c r="J24" s="46"/>
      <c r="K24" s="46"/>
    </row>
    <row r="25" spans="1:11" s="47" customFormat="1">
      <c r="A25" s="38">
        <f t="shared" si="0"/>
        <v>8</v>
      </c>
      <c r="B25" s="39">
        <f t="shared" si="1"/>
        <v>43313</v>
      </c>
      <c r="C25" s="40">
        <f>IF(Pay_Num&lt;&gt;"",I24,"")</f>
        <v>1710.6914445546417</v>
      </c>
      <c r="D25" s="40">
        <f t="shared" si="6"/>
        <v>345.56726219300054</v>
      </c>
      <c r="E25" s="41">
        <f t="shared" si="8"/>
        <v>0</v>
      </c>
      <c r="F25" s="40">
        <f t="shared" si="2"/>
        <v>345.56726219300054</v>
      </c>
      <c r="G25" s="40">
        <f t="shared" si="3"/>
        <v>339.86495737781843</v>
      </c>
      <c r="H25" s="40">
        <f t="shared" si="7"/>
        <v>5.7023048151821394</v>
      </c>
      <c r="I25" s="40">
        <f t="shared" si="4"/>
        <v>1370.8264871768233</v>
      </c>
      <c r="J25" s="46"/>
      <c r="K25" s="46"/>
    </row>
    <row r="26" spans="1:11" s="47" customFormat="1">
      <c r="A26" s="38">
        <f t="shared" si="0"/>
        <v>9</v>
      </c>
      <c r="B26" s="39">
        <f t="shared" si="1"/>
        <v>43344</v>
      </c>
      <c r="C26" s="40">
        <f t="shared" si="5"/>
        <v>1370.8264871768233</v>
      </c>
      <c r="D26" s="40">
        <f t="shared" si="6"/>
        <v>345.56726219300054</v>
      </c>
      <c r="E26" s="41">
        <f t="shared" si="8"/>
        <v>0</v>
      </c>
      <c r="F26" s="40">
        <f t="shared" si="2"/>
        <v>345.56726219300054</v>
      </c>
      <c r="G26" s="40">
        <f t="shared" si="3"/>
        <v>340.99784056907782</v>
      </c>
      <c r="H26" s="40">
        <f t="shared" si="7"/>
        <v>4.5694216239227448</v>
      </c>
      <c r="I26" s="40">
        <f t="shared" si="4"/>
        <v>1029.8286466077454</v>
      </c>
      <c r="J26" s="46"/>
      <c r="K26" s="46"/>
    </row>
    <row r="27" spans="1:11" s="47" customFormat="1">
      <c r="A27" s="38">
        <f t="shared" si="0"/>
        <v>10</v>
      </c>
      <c r="B27" s="39">
        <f t="shared" si="1"/>
        <v>43374</v>
      </c>
      <c r="C27" s="40">
        <f t="shared" si="5"/>
        <v>1029.8286466077454</v>
      </c>
      <c r="D27" s="40">
        <f t="shared" si="6"/>
        <v>345.56726219300054</v>
      </c>
      <c r="E27" s="41">
        <f t="shared" si="8"/>
        <v>0</v>
      </c>
      <c r="F27" s="40">
        <f t="shared" si="2"/>
        <v>345.56726219300054</v>
      </c>
      <c r="G27" s="40">
        <f t="shared" si="3"/>
        <v>342.13450003764137</v>
      </c>
      <c r="H27" s="40">
        <f t="shared" si="7"/>
        <v>3.4327621553591516</v>
      </c>
      <c r="I27" s="40">
        <f t="shared" si="4"/>
        <v>687.69414657010407</v>
      </c>
      <c r="J27" s="46"/>
      <c r="K27" s="46"/>
    </row>
    <row r="28" spans="1:11" s="47" customFormat="1">
      <c r="A28" s="38">
        <f t="shared" si="0"/>
        <v>11</v>
      </c>
      <c r="B28" s="39">
        <f t="shared" si="1"/>
        <v>43405</v>
      </c>
      <c r="C28" s="40">
        <f t="shared" si="5"/>
        <v>687.69414657010407</v>
      </c>
      <c r="D28" s="40">
        <f t="shared" si="6"/>
        <v>345.56726219300054</v>
      </c>
      <c r="E28" s="41">
        <f t="shared" si="8"/>
        <v>0</v>
      </c>
      <c r="F28" s="40">
        <f t="shared" si="2"/>
        <v>345.56726219300054</v>
      </c>
      <c r="G28" s="40">
        <f t="shared" si="3"/>
        <v>343.27494837110021</v>
      </c>
      <c r="H28" s="40">
        <f t="shared" si="7"/>
        <v>2.2923138219003469</v>
      </c>
      <c r="I28" s="40">
        <f t="shared" si="4"/>
        <v>344.41919819900386</v>
      </c>
      <c r="J28" s="46"/>
      <c r="K28" s="46"/>
    </row>
    <row r="29" spans="1:11" s="47" customFormat="1">
      <c r="A29" s="38">
        <f t="shared" si="0"/>
        <v>12</v>
      </c>
      <c r="B29" s="39">
        <f t="shared" si="1"/>
        <v>43435</v>
      </c>
      <c r="C29" s="40">
        <f t="shared" si="5"/>
        <v>344.41919819900386</v>
      </c>
      <c r="D29" s="40">
        <f t="shared" si="6"/>
        <v>345.56726219300054</v>
      </c>
      <c r="E29" s="41">
        <f t="shared" si="8"/>
        <v>0</v>
      </c>
      <c r="F29" s="40">
        <f t="shared" si="2"/>
        <v>345.56726219300054</v>
      </c>
      <c r="G29" s="40">
        <f t="shared" si="3"/>
        <v>344.41919819900386</v>
      </c>
      <c r="H29" s="40">
        <f t="shared" si="7"/>
        <v>1.1480639939966795</v>
      </c>
      <c r="I29" s="40">
        <f t="shared" si="4"/>
        <v>0</v>
      </c>
      <c r="J29" s="46"/>
      <c r="K29" s="46"/>
    </row>
    <row r="30" spans="1:11" s="47" customFormat="1">
      <c r="A30" s="38">
        <f t="shared" si="0"/>
        <v>13</v>
      </c>
      <c r="B30" s="39">
        <f t="shared" si="1"/>
        <v>43466</v>
      </c>
      <c r="C30" s="40">
        <f t="shared" si="5"/>
        <v>0</v>
      </c>
      <c r="D30" s="40">
        <f t="shared" si="6"/>
        <v>345.56726219300054</v>
      </c>
      <c r="E30" s="41">
        <f t="shared" si="8"/>
        <v>0</v>
      </c>
      <c r="F30" s="40">
        <f t="shared" si="2"/>
        <v>345.56726219300054</v>
      </c>
      <c r="G30" s="40">
        <f t="shared" si="3"/>
        <v>345.56726219300054</v>
      </c>
      <c r="H30" s="40">
        <f t="shared" si="7"/>
        <v>0</v>
      </c>
      <c r="I30" s="40">
        <f t="shared" si="4"/>
        <v>-345.56726219300054</v>
      </c>
      <c r="J30" s="46"/>
      <c r="K30" s="46"/>
    </row>
    <row r="31" spans="1:11" s="47" customFormat="1">
      <c r="A31" s="38">
        <f t="shared" si="0"/>
        <v>14</v>
      </c>
      <c r="B31" s="39">
        <f t="shared" si="1"/>
        <v>43497</v>
      </c>
      <c r="C31" s="40">
        <f t="shared" si="5"/>
        <v>-345.56726219300054</v>
      </c>
      <c r="D31" s="40">
        <f t="shared" si="6"/>
        <v>345.56726219300054</v>
      </c>
      <c r="E31" s="41">
        <f t="shared" si="8"/>
        <v>0</v>
      </c>
      <c r="F31" s="40">
        <f t="shared" si="2"/>
        <v>345.56726219300054</v>
      </c>
      <c r="G31" s="40">
        <f t="shared" si="3"/>
        <v>346.71915306697719</v>
      </c>
      <c r="H31" s="40">
        <f t="shared" si="7"/>
        <v>-1.1518908739766685</v>
      </c>
      <c r="I31" s="40">
        <f t="shared" si="4"/>
        <v>-692.28641525997773</v>
      </c>
      <c r="J31" s="46"/>
      <c r="K31" s="46"/>
    </row>
    <row r="32" spans="1:11" s="47" customFormat="1">
      <c r="A32" s="38">
        <f t="shared" si="0"/>
        <v>15</v>
      </c>
      <c r="B32" s="39">
        <f t="shared" si="1"/>
        <v>43525</v>
      </c>
      <c r="C32" s="40">
        <f t="shared" si="5"/>
        <v>-692.28641525997773</v>
      </c>
      <c r="D32" s="40">
        <f t="shared" si="6"/>
        <v>345.56726219300054</v>
      </c>
      <c r="E32" s="41">
        <f t="shared" si="8"/>
        <v>0</v>
      </c>
      <c r="F32" s="40">
        <f t="shared" si="2"/>
        <v>345.56726219300054</v>
      </c>
      <c r="G32" s="40">
        <f t="shared" si="3"/>
        <v>347.87488357720048</v>
      </c>
      <c r="H32" s="40">
        <f t="shared" si="7"/>
        <v>-2.3076213841999258</v>
      </c>
      <c r="I32" s="40">
        <f t="shared" si="4"/>
        <v>-1040.1612988371783</v>
      </c>
      <c r="J32" s="46"/>
      <c r="K32" s="46"/>
    </row>
    <row r="33" spans="1:11" s="47" customFormat="1">
      <c r="A33" s="38">
        <f t="shared" si="0"/>
        <v>16</v>
      </c>
      <c r="B33" s="39">
        <f t="shared" si="1"/>
        <v>43556</v>
      </c>
      <c r="C33" s="40">
        <f t="shared" si="5"/>
        <v>-1040.1612988371783</v>
      </c>
      <c r="D33" s="40">
        <f t="shared" si="6"/>
        <v>345.56726219300054</v>
      </c>
      <c r="E33" s="41">
        <f t="shared" si="8"/>
        <v>0</v>
      </c>
      <c r="F33" s="40">
        <f t="shared" si="2"/>
        <v>345.56726219300054</v>
      </c>
      <c r="G33" s="40">
        <f t="shared" si="3"/>
        <v>349.03446652245782</v>
      </c>
      <c r="H33" s="40">
        <f t="shared" si="7"/>
        <v>-3.4672043294572608</v>
      </c>
      <c r="I33" s="40">
        <f t="shared" si="4"/>
        <v>-1389.195765359636</v>
      </c>
      <c r="J33" s="46"/>
      <c r="K33" s="46"/>
    </row>
    <row r="34" spans="1:11" s="47" customFormat="1">
      <c r="A34" s="38">
        <f t="shared" si="0"/>
        <v>17</v>
      </c>
      <c r="B34" s="39">
        <f t="shared" si="1"/>
        <v>43586</v>
      </c>
      <c r="C34" s="40">
        <f t="shared" si="5"/>
        <v>-1389.195765359636</v>
      </c>
      <c r="D34" s="40">
        <f t="shared" si="6"/>
        <v>345.56726219300054</v>
      </c>
      <c r="E34" s="41">
        <f t="shared" si="8"/>
        <v>0</v>
      </c>
      <c r="F34" s="40">
        <f t="shared" si="2"/>
        <v>345.56726219300054</v>
      </c>
      <c r="G34" s="40">
        <f t="shared" si="3"/>
        <v>350.19791474419935</v>
      </c>
      <c r="H34" s="40">
        <f t="shared" si="7"/>
        <v>-4.6306525511987866</v>
      </c>
      <c r="I34" s="40">
        <f t="shared" si="4"/>
        <v>-1739.3936801038353</v>
      </c>
      <c r="J34" s="46"/>
      <c r="K34" s="46"/>
    </row>
    <row r="35" spans="1:11" s="47" customFormat="1">
      <c r="A35" s="38">
        <f t="shared" si="0"/>
        <v>18</v>
      </c>
      <c r="B35" s="39">
        <f t="shared" si="1"/>
        <v>43617</v>
      </c>
      <c r="C35" s="40">
        <f t="shared" si="5"/>
        <v>-1739.3936801038353</v>
      </c>
      <c r="D35" s="40">
        <f t="shared" si="6"/>
        <v>345.56726219300054</v>
      </c>
      <c r="E35" s="41">
        <f t="shared" si="8"/>
        <v>0</v>
      </c>
      <c r="F35" s="40">
        <f t="shared" si="2"/>
        <v>345.56726219300054</v>
      </c>
      <c r="G35" s="40">
        <f t="shared" si="3"/>
        <v>351.36524112668002</v>
      </c>
      <c r="H35" s="40">
        <f t="shared" si="7"/>
        <v>-5.7979789336794516</v>
      </c>
      <c r="I35" s="40">
        <f t="shared" si="4"/>
        <v>-2090.7589212305152</v>
      </c>
      <c r="J35" s="46"/>
      <c r="K35" s="46"/>
    </row>
    <row r="36" spans="1:11" s="47" customFormat="1">
      <c r="A36" s="38">
        <f t="shared" si="0"/>
        <v>19</v>
      </c>
      <c r="B36" s="39">
        <f t="shared" si="1"/>
        <v>43647</v>
      </c>
      <c r="C36" s="40">
        <f t="shared" si="5"/>
        <v>-2090.7589212305152</v>
      </c>
      <c r="D36" s="40">
        <f t="shared" si="6"/>
        <v>345.56726219300054</v>
      </c>
      <c r="E36" s="41">
        <f t="shared" si="8"/>
        <v>0</v>
      </c>
      <c r="F36" s="40">
        <f t="shared" si="2"/>
        <v>345.56726219300054</v>
      </c>
      <c r="G36" s="40">
        <f t="shared" si="3"/>
        <v>352.53645859710224</v>
      </c>
      <c r="H36" s="40">
        <f t="shared" si="7"/>
        <v>-6.9691964041017167</v>
      </c>
      <c r="I36" s="40">
        <f t="shared" si="4"/>
        <v>-2443.2953798276176</v>
      </c>
      <c r="J36" s="46"/>
      <c r="K36" s="46"/>
    </row>
    <row r="37" spans="1:11" s="47" customFormat="1">
      <c r="A37" s="38">
        <f t="shared" si="0"/>
        <v>20</v>
      </c>
      <c r="B37" s="39">
        <f t="shared" si="1"/>
        <v>43678</v>
      </c>
      <c r="C37" s="40">
        <f t="shared" si="5"/>
        <v>-2443.2953798276176</v>
      </c>
      <c r="D37" s="40">
        <f t="shared" si="6"/>
        <v>345.56726219300054</v>
      </c>
      <c r="E37" s="41">
        <f t="shared" si="8"/>
        <v>0</v>
      </c>
      <c r="F37" s="40">
        <f t="shared" si="2"/>
        <v>345.56726219300054</v>
      </c>
      <c r="G37" s="40">
        <f t="shared" si="3"/>
        <v>353.71158012575927</v>
      </c>
      <c r="H37" s="40">
        <f t="shared" si="7"/>
        <v>-8.1443179327587263</v>
      </c>
      <c r="I37" s="40">
        <f t="shared" si="4"/>
        <v>-2797.0069599533767</v>
      </c>
      <c r="J37" s="46"/>
      <c r="K37" s="46"/>
    </row>
    <row r="38" spans="1:11" s="47" customFormat="1">
      <c r="A38" s="38">
        <f t="shared" si="0"/>
        <v>21</v>
      </c>
      <c r="B38" s="39">
        <f t="shared" si="1"/>
        <v>43709</v>
      </c>
      <c r="C38" s="40">
        <f t="shared" si="5"/>
        <v>-2797.0069599533767</v>
      </c>
      <c r="D38" s="40">
        <f t="shared" si="6"/>
        <v>345.56726219300054</v>
      </c>
      <c r="E38" s="41">
        <f t="shared" si="8"/>
        <v>0</v>
      </c>
      <c r="F38" s="40">
        <f t="shared" si="2"/>
        <v>345.56726219300054</v>
      </c>
      <c r="G38" s="40">
        <f t="shared" si="3"/>
        <v>354.89061872617845</v>
      </c>
      <c r="H38" s="40">
        <f t="shared" si="7"/>
        <v>-9.3233565331779236</v>
      </c>
      <c r="I38" s="40">
        <f t="shared" si="4"/>
        <v>-3151.8975786795554</v>
      </c>
      <c r="J38" s="46"/>
      <c r="K38" s="46"/>
    </row>
    <row r="39" spans="1:11" s="47" customFormat="1">
      <c r="A39" s="38">
        <f t="shared" si="0"/>
        <v>22</v>
      </c>
      <c r="B39" s="39">
        <f t="shared" si="1"/>
        <v>43739</v>
      </c>
      <c r="C39" s="40">
        <f t="shared" si="5"/>
        <v>-3151.8975786795554</v>
      </c>
      <c r="D39" s="40">
        <f t="shared" si="6"/>
        <v>345.56726219300054</v>
      </c>
      <c r="E39" s="41">
        <f t="shared" si="8"/>
        <v>0</v>
      </c>
      <c r="F39" s="40">
        <f t="shared" si="2"/>
        <v>345.56726219300054</v>
      </c>
      <c r="G39" s="40">
        <f t="shared" si="3"/>
        <v>356.07358745526574</v>
      </c>
      <c r="H39" s="40">
        <f t="shared" si="7"/>
        <v>-10.506325262265184</v>
      </c>
      <c r="I39" s="40">
        <f t="shared" si="4"/>
        <v>-3507.971166134821</v>
      </c>
      <c r="J39" s="46"/>
      <c r="K39" s="46"/>
    </row>
    <row r="40" spans="1:11" s="47" customFormat="1">
      <c r="A40" s="38">
        <f t="shared" si="0"/>
        <v>23</v>
      </c>
      <c r="B40" s="39">
        <f t="shared" si="1"/>
        <v>43770</v>
      </c>
      <c r="C40" s="40">
        <f t="shared" si="5"/>
        <v>-3507.971166134821</v>
      </c>
      <c r="D40" s="40">
        <f t="shared" si="6"/>
        <v>345.56726219300054</v>
      </c>
      <c r="E40" s="41">
        <f t="shared" si="8"/>
        <v>0</v>
      </c>
      <c r="F40" s="40">
        <f t="shared" si="2"/>
        <v>345.56726219300054</v>
      </c>
      <c r="G40" s="40">
        <f t="shared" si="3"/>
        <v>357.26049941344996</v>
      </c>
      <c r="H40" s="40">
        <f t="shared" si="7"/>
        <v>-11.693237220449404</v>
      </c>
      <c r="I40" s="40">
        <f t="shared" si="4"/>
        <v>-3865.2316655482709</v>
      </c>
      <c r="J40" s="46"/>
      <c r="K40" s="46"/>
    </row>
    <row r="41" spans="1:11" s="47" customFormat="1">
      <c r="A41" s="38">
        <f t="shared" si="0"/>
        <v>24</v>
      </c>
      <c r="B41" s="39">
        <f t="shared" si="1"/>
        <v>43800</v>
      </c>
      <c r="C41" s="40">
        <f t="shared" si="5"/>
        <v>-3865.2316655482709</v>
      </c>
      <c r="D41" s="40">
        <f t="shared" si="6"/>
        <v>345.56726219300054</v>
      </c>
      <c r="E41" s="41">
        <f t="shared" si="8"/>
        <v>0</v>
      </c>
      <c r="F41" s="40">
        <f t="shared" si="2"/>
        <v>345.56726219300054</v>
      </c>
      <c r="G41" s="40">
        <f t="shared" si="3"/>
        <v>358.45136774482813</v>
      </c>
      <c r="H41" s="40">
        <f t="shared" si="7"/>
        <v>-12.884105551827568</v>
      </c>
      <c r="I41" s="40">
        <f t="shared" si="4"/>
        <v>-4223.6830332930995</v>
      </c>
      <c r="J41" s="46"/>
      <c r="K41" s="46"/>
    </row>
    <row r="42" spans="1:11" s="47" customFormat="1">
      <c r="A42" s="38">
        <f t="shared" si="0"/>
        <v>25</v>
      </c>
      <c r="B42" s="39">
        <f t="shared" si="1"/>
        <v>43831</v>
      </c>
      <c r="C42" s="40">
        <f t="shared" si="5"/>
        <v>-4223.6830332930995</v>
      </c>
      <c r="D42" s="40">
        <f t="shared" si="6"/>
        <v>345.56726219300054</v>
      </c>
      <c r="E42" s="41">
        <f t="shared" si="8"/>
        <v>0</v>
      </c>
      <c r="F42" s="40">
        <f t="shared" si="2"/>
        <v>345.56726219300054</v>
      </c>
      <c r="G42" s="40">
        <f t="shared" si="3"/>
        <v>359.64620563731086</v>
      </c>
      <c r="H42" s="40">
        <f t="shared" si="7"/>
        <v>-14.078943444310331</v>
      </c>
      <c r="I42" s="40">
        <f t="shared" si="4"/>
        <v>-4583.3292389304106</v>
      </c>
      <c r="J42" s="46"/>
      <c r="K42" s="46"/>
    </row>
    <row r="43" spans="1:11" s="47" customFormat="1">
      <c r="A43" s="38">
        <f t="shared" si="0"/>
        <v>26</v>
      </c>
      <c r="B43" s="39">
        <f t="shared" si="1"/>
        <v>43862</v>
      </c>
      <c r="C43" s="40">
        <f t="shared" si="5"/>
        <v>-4583.3292389304106</v>
      </c>
      <c r="D43" s="40">
        <f t="shared" si="6"/>
        <v>345.56726219300054</v>
      </c>
      <c r="E43" s="41">
        <f t="shared" si="8"/>
        <v>0</v>
      </c>
      <c r="F43" s="40">
        <f t="shared" si="2"/>
        <v>345.56726219300054</v>
      </c>
      <c r="G43" s="40">
        <f t="shared" si="3"/>
        <v>360.8450263227686</v>
      </c>
      <c r="H43" s="40">
        <f t="shared" si="7"/>
        <v>-15.277764129768036</v>
      </c>
      <c r="I43" s="40">
        <f t="shared" si="4"/>
        <v>-4944.1742652531793</v>
      </c>
      <c r="J43" s="46"/>
      <c r="K43" s="46"/>
    </row>
    <row r="44" spans="1:11" s="47" customFormat="1">
      <c r="A44" s="38">
        <f t="shared" si="0"/>
        <v>27</v>
      </c>
      <c r="B44" s="39">
        <f t="shared" si="1"/>
        <v>43891</v>
      </c>
      <c r="C44" s="40">
        <f t="shared" si="5"/>
        <v>-4944.1742652531793</v>
      </c>
      <c r="D44" s="40">
        <f t="shared" si="6"/>
        <v>345.56726219300054</v>
      </c>
      <c r="E44" s="41">
        <f t="shared" si="8"/>
        <v>0</v>
      </c>
      <c r="F44" s="40">
        <f t="shared" si="2"/>
        <v>345.56726219300054</v>
      </c>
      <c r="G44" s="40">
        <f t="shared" si="3"/>
        <v>362.04784307717779</v>
      </c>
      <c r="H44" s="40">
        <f t="shared" si="7"/>
        <v>-16.480580884177265</v>
      </c>
      <c r="I44" s="40">
        <f t="shared" si="4"/>
        <v>-5306.2221083303575</v>
      </c>
      <c r="J44" s="46"/>
      <c r="K44" s="46"/>
    </row>
    <row r="45" spans="1:11" s="47" customFormat="1">
      <c r="A45" s="38">
        <f t="shared" si="0"/>
        <v>28</v>
      </c>
      <c r="B45" s="39">
        <f t="shared" si="1"/>
        <v>43922</v>
      </c>
      <c r="C45" s="40">
        <f t="shared" si="5"/>
        <v>-5306.2221083303575</v>
      </c>
      <c r="D45" s="40">
        <f t="shared" si="6"/>
        <v>345.56726219300054</v>
      </c>
      <c r="E45" s="41">
        <f t="shared" si="8"/>
        <v>0</v>
      </c>
      <c r="F45" s="40">
        <f t="shared" si="2"/>
        <v>345.56726219300054</v>
      </c>
      <c r="G45" s="40">
        <f t="shared" si="3"/>
        <v>363.25466922076839</v>
      </c>
      <c r="H45" s="40">
        <f t="shared" si="7"/>
        <v>-17.687407027767858</v>
      </c>
      <c r="I45" s="40">
        <f t="shared" si="4"/>
        <v>-5669.4767775511264</v>
      </c>
      <c r="J45" s="46"/>
      <c r="K45" s="46"/>
    </row>
    <row r="46" spans="1:11" s="47" customFormat="1">
      <c r="A46" s="38">
        <f t="shared" si="0"/>
        <v>29</v>
      </c>
      <c r="B46" s="39">
        <f t="shared" si="1"/>
        <v>43952</v>
      </c>
      <c r="C46" s="40">
        <f t="shared" si="5"/>
        <v>-5669.4767775511264</v>
      </c>
      <c r="D46" s="40">
        <f t="shared" si="6"/>
        <v>345.56726219300054</v>
      </c>
      <c r="E46" s="41">
        <f t="shared" si="8"/>
        <v>0</v>
      </c>
      <c r="F46" s="40">
        <f t="shared" si="2"/>
        <v>345.56726219300054</v>
      </c>
      <c r="G46" s="40">
        <f t="shared" si="3"/>
        <v>364.46551811817096</v>
      </c>
      <c r="H46" s="40">
        <f t="shared" si="7"/>
        <v>-18.898255925170421</v>
      </c>
      <c r="I46" s="40">
        <f t="shared" si="4"/>
        <v>-6033.942295669297</v>
      </c>
      <c r="J46" s="46"/>
      <c r="K46" s="46"/>
    </row>
    <row r="47" spans="1:11" s="47" customFormat="1">
      <c r="A47" s="38">
        <f t="shared" si="0"/>
        <v>30</v>
      </c>
      <c r="B47" s="39">
        <f t="shared" si="1"/>
        <v>43983</v>
      </c>
      <c r="C47" s="40">
        <f t="shared" si="5"/>
        <v>-6033.942295669297</v>
      </c>
      <c r="D47" s="40">
        <f t="shared" si="6"/>
        <v>345.56726219300054</v>
      </c>
      <c r="E47" s="41">
        <f t="shared" si="8"/>
        <v>0</v>
      </c>
      <c r="F47" s="40">
        <f t="shared" si="2"/>
        <v>345.56726219300054</v>
      </c>
      <c r="G47" s="40">
        <f t="shared" si="3"/>
        <v>365.68040317856486</v>
      </c>
      <c r="H47" s="40">
        <f t="shared" si="7"/>
        <v>-20.113140985564325</v>
      </c>
      <c r="I47" s="40">
        <f t="shared" si="4"/>
        <v>-6399.622698847862</v>
      </c>
      <c r="J47" s="46"/>
      <c r="K47" s="46"/>
    </row>
    <row r="48" spans="1:11" s="47" customFormat="1">
      <c r="A48" s="38">
        <f t="shared" si="0"/>
        <v>31</v>
      </c>
      <c r="B48" s="39">
        <f t="shared" si="1"/>
        <v>44013</v>
      </c>
      <c r="C48" s="40">
        <f t="shared" si="5"/>
        <v>-6399.622698847862</v>
      </c>
      <c r="D48" s="40">
        <f t="shared" si="6"/>
        <v>345.56726219300054</v>
      </c>
      <c r="E48" s="41">
        <f t="shared" si="8"/>
        <v>0</v>
      </c>
      <c r="F48" s="40">
        <f t="shared" si="2"/>
        <v>345.56726219300054</v>
      </c>
      <c r="G48" s="40">
        <f t="shared" si="3"/>
        <v>366.89933785582673</v>
      </c>
      <c r="H48" s="40">
        <f t="shared" si="7"/>
        <v>-21.332075662826206</v>
      </c>
      <c r="I48" s="40">
        <f t="shared" si="4"/>
        <v>-6766.5220367036891</v>
      </c>
      <c r="J48" s="46"/>
      <c r="K48" s="46"/>
    </row>
    <row r="49" spans="1:11" s="47" customFormat="1">
      <c r="A49" s="38">
        <f t="shared" si="0"/>
        <v>32</v>
      </c>
      <c r="B49" s="39">
        <f t="shared" si="1"/>
        <v>44044</v>
      </c>
      <c r="C49" s="40">
        <f t="shared" si="5"/>
        <v>-6766.5220367036891</v>
      </c>
      <c r="D49" s="40">
        <f t="shared" si="6"/>
        <v>345.56726219300054</v>
      </c>
      <c r="E49" s="41">
        <f t="shared" si="8"/>
        <v>0</v>
      </c>
      <c r="F49" s="40">
        <f t="shared" si="2"/>
        <v>345.56726219300054</v>
      </c>
      <c r="G49" s="40">
        <f t="shared" si="3"/>
        <v>368.1223356486795</v>
      </c>
      <c r="H49" s="40">
        <f t="shared" si="7"/>
        <v>-22.555073455678965</v>
      </c>
      <c r="I49" s="40">
        <f t="shared" si="4"/>
        <v>-7134.6443723523689</v>
      </c>
      <c r="J49" s="46"/>
      <c r="K49" s="46"/>
    </row>
    <row r="50" spans="1:11" s="47" customFormat="1">
      <c r="A50" s="38">
        <f t="shared" si="0"/>
        <v>33</v>
      </c>
      <c r="B50" s="39">
        <f t="shared" si="1"/>
        <v>44075</v>
      </c>
      <c r="C50" s="40">
        <f t="shared" si="5"/>
        <v>-7134.6443723523689</v>
      </c>
      <c r="D50" s="40">
        <f t="shared" si="6"/>
        <v>345.56726219300054</v>
      </c>
      <c r="E50" s="41">
        <f t="shared" si="8"/>
        <v>0</v>
      </c>
      <c r="F50" s="40">
        <f t="shared" si="2"/>
        <v>345.56726219300054</v>
      </c>
      <c r="G50" s="40">
        <f t="shared" si="3"/>
        <v>369.34941010084179</v>
      </c>
      <c r="H50" s="40">
        <f t="shared" si="7"/>
        <v>-23.782147907841232</v>
      </c>
      <c r="I50" s="40">
        <f t="shared" si="4"/>
        <v>-7503.9937824532108</v>
      </c>
      <c r="J50" s="46"/>
      <c r="K50" s="46"/>
    </row>
    <row r="51" spans="1:11" s="47" customFormat="1">
      <c r="A51" s="38">
        <f t="shared" si="0"/>
        <v>34</v>
      </c>
      <c r="B51" s="39">
        <f t="shared" si="1"/>
        <v>44105</v>
      </c>
      <c r="C51" s="40">
        <f t="shared" si="5"/>
        <v>-7503.9937824532108</v>
      </c>
      <c r="D51" s="40">
        <f t="shared" si="6"/>
        <v>345.56726219300054</v>
      </c>
      <c r="E51" s="41">
        <f t="shared" si="8"/>
        <v>0</v>
      </c>
      <c r="F51" s="40">
        <f t="shared" si="2"/>
        <v>345.56726219300054</v>
      </c>
      <c r="G51" s="40">
        <f t="shared" si="3"/>
        <v>370.58057480117793</v>
      </c>
      <c r="H51" s="40">
        <f t="shared" si="7"/>
        <v>-25.013312608177369</v>
      </c>
      <c r="I51" s="40">
        <f t="shared" si="4"/>
        <v>-7874.5743572543888</v>
      </c>
      <c r="J51" s="46"/>
      <c r="K51" s="46"/>
    </row>
    <row r="52" spans="1:11" s="47" customFormat="1">
      <c r="A52" s="38">
        <f t="shared" si="0"/>
        <v>35</v>
      </c>
      <c r="B52" s="39">
        <f t="shared" si="1"/>
        <v>44136</v>
      </c>
      <c r="C52" s="40">
        <f t="shared" si="5"/>
        <v>-7874.5743572543888</v>
      </c>
      <c r="D52" s="40">
        <f t="shared" si="6"/>
        <v>345.56726219300054</v>
      </c>
      <c r="E52" s="41">
        <f t="shared" si="8"/>
        <v>0</v>
      </c>
      <c r="F52" s="40">
        <f t="shared" si="2"/>
        <v>345.56726219300054</v>
      </c>
      <c r="G52" s="40">
        <f t="shared" si="3"/>
        <v>371.81584338384852</v>
      </c>
      <c r="H52" s="40">
        <f t="shared" si="7"/>
        <v>-26.248581190847961</v>
      </c>
      <c r="I52" s="40">
        <f t="shared" si="4"/>
        <v>-8246.3902006382377</v>
      </c>
      <c r="J52" s="46"/>
      <c r="K52" s="46"/>
    </row>
    <row r="53" spans="1:11" s="47" customFormat="1">
      <c r="A53" s="38">
        <f t="shared" si="0"/>
        <v>36</v>
      </c>
      <c r="B53" s="39">
        <f t="shared" si="1"/>
        <v>44166</v>
      </c>
      <c r="C53" s="40">
        <f t="shared" si="5"/>
        <v>-8246.3902006382377</v>
      </c>
      <c r="D53" s="40">
        <f t="shared" si="6"/>
        <v>345.56726219300054</v>
      </c>
      <c r="E53" s="41">
        <f t="shared" si="8"/>
        <v>0</v>
      </c>
      <c r="F53" s="40">
        <f t="shared" si="2"/>
        <v>345.56726219300054</v>
      </c>
      <c r="G53" s="40">
        <f t="shared" si="3"/>
        <v>373.05522952846133</v>
      </c>
      <c r="H53" s="40">
        <f t="shared" si="7"/>
        <v>-27.487967335460795</v>
      </c>
      <c r="I53" s="40">
        <f t="shared" si="4"/>
        <v>-8619.4454301666992</v>
      </c>
      <c r="J53" s="46"/>
      <c r="K53" s="46"/>
    </row>
  </sheetData>
  <mergeCells count="13">
    <mergeCell ref="A15:C15"/>
    <mergeCell ref="A7:C7"/>
    <mergeCell ref="A8:C8"/>
    <mergeCell ref="A11:C11"/>
    <mergeCell ref="A12:C12"/>
    <mergeCell ref="A13:C13"/>
    <mergeCell ref="A14:C14"/>
    <mergeCell ref="A6:C6"/>
    <mergeCell ref="A1:I1"/>
    <mergeCell ref="A4:C4"/>
    <mergeCell ref="F4:I4"/>
    <mergeCell ref="A5:C5"/>
    <mergeCell ref="F5:I5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2"/>
  <sheetViews>
    <sheetView topLeftCell="A4" workbookViewId="0">
      <selection activeCell="D18" sqref="D18"/>
    </sheetView>
  </sheetViews>
  <sheetFormatPr baseColWidth="10" defaultRowHeight="16"/>
  <cols>
    <col min="3" max="3" width="14.5" customWidth="1"/>
    <col min="4" max="4" width="15" customWidth="1"/>
    <col min="9" max="9" width="16" customWidth="1"/>
  </cols>
  <sheetData>
    <row r="1" spans="1:13" ht="23">
      <c r="A1" s="122" t="s">
        <v>131</v>
      </c>
      <c r="B1" s="122"/>
      <c r="C1" s="122"/>
      <c r="D1" s="122"/>
      <c r="E1" s="122"/>
      <c r="F1" s="122"/>
      <c r="G1" s="122"/>
      <c r="H1" s="122"/>
      <c r="I1" s="122"/>
      <c r="J1" s="52"/>
      <c r="K1" s="52"/>
      <c r="L1" s="53"/>
      <c r="M1" s="53"/>
    </row>
    <row r="2" spans="1:13">
      <c r="A2" s="54"/>
      <c r="B2" s="54"/>
      <c r="C2" s="54"/>
      <c r="D2" s="54"/>
      <c r="E2" s="54"/>
      <c r="F2" s="54"/>
      <c r="G2" s="54"/>
      <c r="H2" s="54"/>
      <c r="I2" s="54"/>
      <c r="J2" s="52"/>
      <c r="K2" s="52"/>
      <c r="L2" s="53"/>
      <c r="M2" s="53"/>
    </row>
    <row r="3" spans="1:13">
      <c r="A3" s="55"/>
      <c r="B3" s="55"/>
      <c r="C3" s="55"/>
      <c r="D3" s="56" t="s">
        <v>72</v>
      </c>
      <c r="E3" s="55"/>
      <c r="F3" s="57"/>
      <c r="G3" s="57"/>
      <c r="H3" s="55"/>
      <c r="I3" s="55"/>
      <c r="J3" s="52"/>
      <c r="K3" s="52"/>
      <c r="L3" s="53"/>
      <c r="M3" s="53"/>
    </row>
    <row r="4" spans="1:13">
      <c r="A4" s="120" t="s">
        <v>74</v>
      </c>
      <c r="B4" s="120"/>
      <c r="C4" s="121"/>
      <c r="D4" s="59">
        <v>38000</v>
      </c>
      <c r="E4" s="55"/>
      <c r="F4" s="123"/>
      <c r="G4" s="123"/>
      <c r="H4" s="123"/>
      <c r="I4" s="123"/>
      <c r="J4" s="52"/>
      <c r="K4" s="52"/>
      <c r="L4" s="53"/>
      <c r="M4" s="60"/>
    </row>
    <row r="5" spans="1:13">
      <c r="A5" s="120" t="s">
        <v>75</v>
      </c>
      <c r="B5" s="120"/>
      <c r="C5" s="121"/>
      <c r="D5" s="61">
        <v>0.03</v>
      </c>
      <c r="E5" s="55"/>
      <c r="F5" s="124"/>
      <c r="G5" s="124"/>
      <c r="H5" s="124"/>
      <c r="I5" s="124"/>
      <c r="J5" s="52"/>
      <c r="K5" s="52"/>
      <c r="L5" s="53"/>
      <c r="M5" s="53"/>
    </row>
    <row r="6" spans="1:13">
      <c r="A6" s="120" t="s">
        <v>76</v>
      </c>
      <c r="B6" s="120"/>
      <c r="C6" s="121"/>
      <c r="D6" s="62">
        <v>5</v>
      </c>
      <c r="E6" s="55"/>
      <c r="F6" s="63"/>
      <c r="G6" s="55"/>
      <c r="H6" s="55"/>
      <c r="I6" s="55"/>
      <c r="J6" s="52"/>
      <c r="K6" s="52"/>
      <c r="L6" s="53"/>
      <c r="M6" s="53"/>
    </row>
    <row r="7" spans="1:13">
      <c r="A7" s="120" t="s">
        <v>77</v>
      </c>
      <c r="B7" s="120"/>
      <c r="C7" s="121"/>
      <c r="D7" s="64">
        <v>43101</v>
      </c>
      <c r="E7" s="55"/>
      <c r="F7" s="63"/>
      <c r="G7" s="55"/>
      <c r="H7" s="55"/>
      <c r="I7" s="55"/>
      <c r="J7" s="52"/>
      <c r="K7" s="52"/>
      <c r="L7" s="53"/>
      <c r="M7" s="53"/>
    </row>
    <row r="8" spans="1:13">
      <c r="A8" s="120" t="s">
        <v>78</v>
      </c>
      <c r="B8" s="120"/>
      <c r="C8" s="121"/>
      <c r="D8" s="65" t="s">
        <v>132</v>
      </c>
      <c r="E8" s="55"/>
      <c r="F8" s="63"/>
      <c r="G8" s="55"/>
      <c r="H8" s="55"/>
      <c r="I8" s="55"/>
      <c r="J8" s="52"/>
      <c r="K8" s="52"/>
      <c r="L8" s="53"/>
      <c r="M8" s="53"/>
    </row>
    <row r="9" spans="1:13">
      <c r="A9" s="66"/>
      <c r="B9" s="66"/>
      <c r="C9" s="66"/>
      <c r="D9" s="67"/>
      <c r="E9" s="55"/>
      <c r="F9" s="68"/>
      <c r="G9" s="68"/>
      <c r="H9" s="55"/>
      <c r="I9" s="55"/>
      <c r="J9" s="52"/>
      <c r="K9" s="52"/>
      <c r="L9" s="53"/>
      <c r="M9" s="53"/>
    </row>
    <row r="10" spans="1:13">
      <c r="A10" s="58"/>
      <c r="B10" s="58"/>
      <c r="C10" s="58"/>
      <c r="D10" s="55"/>
      <c r="E10" s="55"/>
      <c r="F10" s="55"/>
      <c r="G10" s="55"/>
      <c r="H10" s="55"/>
      <c r="I10" s="55"/>
      <c r="J10" s="52"/>
      <c r="K10" s="52"/>
      <c r="L10" s="53"/>
      <c r="M10" s="53"/>
    </row>
    <row r="11" spans="1:13">
      <c r="A11" s="120" t="s">
        <v>79</v>
      </c>
      <c r="B11" s="120"/>
      <c r="C11" s="121"/>
      <c r="D11" s="69">
        <v>552.5</v>
      </c>
      <c r="E11" s="55"/>
      <c r="F11" s="70"/>
      <c r="G11" s="70"/>
      <c r="H11" s="55"/>
      <c r="I11" s="55"/>
      <c r="J11" s="52"/>
      <c r="K11" s="52"/>
      <c r="L11" s="53"/>
      <c r="M11" s="53"/>
    </row>
    <row r="12" spans="1:13">
      <c r="A12" s="120" t="s">
        <v>80</v>
      </c>
      <c r="B12" s="120"/>
      <c r="C12" s="121"/>
      <c r="D12" s="71">
        <v>60</v>
      </c>
      <c r="E12" s="55"/>
      <c r="F12" s="70"/>
      <c r="G12" s="70"/>
      <c r="H12" s="55"/>
      <c r="I12" s="55"/>
      <c r="J12" s="52"/>
      <c r="K12" s="52"/>
      <c r="L12" s="53"/>
      <c r="M12" s="53"/>
    </row>
    <row r="13" spans="1:13">
      <c r="A13" s="120" t="s">
        <v>81</v>
      </c>
      <c r="B13" s="120"/>
      <c r="C13" s="121"/>
      <c r="D13" s="71">
        <v>60</v>
      </c>
      <c r="E13" s="55"/>
      <c r="F13" s="55"/>
      <c r="G13" s="55"/>
      <c r="H13" s="55"/>
      <c r="I13" s="55"/>
      <c r="J13" s="52"/>
      <c r="K13" s="52"/>
      <c r="L13" s="53"/>
      <c r="M13" s="53"/>
    </row>
    <row r="14" spans="1:13">
      <c r="A14" s="120" t="s">
        <v>82</v>
      </c>
      <c r="B14" s="120"/>
      <c r="C14" s="121"/>
      <c r="D14" s="72" t="s">
        <v>133</v>
      </c>
      <c r="E14" s="55"/>
      <c r="F14" s="55"/>
      <c r="G14" s="55"/>
      <c r="H14" s="55"/>
      <c r="I14" s="55"/>
      <c r="J14" s="52"/>
      <c r="K14" s="52"/>
      <c r="L14" s="53"/>
      <c r="M14" s="53"/>
    </row>
    <row r="15" spans="1:13">
      <c r="A15" s="120" t="s">
        <v>83</v>
      </c>
      <c r="B15" s="120"/>
      <c r="C15" s="121"/>
      <c r="D15" s="72">
        <v>2612.85</v>
      </c>
      <c r="E15" s="55"/>
      <c r="F15" s="70"/>
      <c r="G15" s="70"/>
      <c r="H15" s="55"/>
      <c r="I15" s="55"/>
      <c r="J15" s="52"/>
      <c r="K15" s="52"/>
      <c r="L15" s="53"/>
      <c r="M15" s="53"/>
    </row>
    <row r="16" spans="1:13">
      <c r="A16" s="54"/>
      <c r="B16" s="54"/>
      <c r="C16" s="54"/>
      <c r="D16" s="54"/>
      <c r="E16" s="67"/>
      <c r="F16" s="67"/>
      <c r="G16" s="67"/>
      <c r="H16" s="54"/>
      <c r="I16" s="54"/>
      <c r="J16" s="52"/>
      <c r="K16" s="52"/>
      <c r="L16" s="53"/>
      <c r="M16" s="53"/>
    </row>
    <row r="17" spans="1:13" ht="34">
      <c r="A17" s="73" t="s">
        <v>84</v>
      </c>
      <c r="B17" s="73" t="s">
        <v>85</v>
      </c>
      <c r="C17" s="73" t="s">
        <v>86</v>
      </c>
      <c r="D17" s="73" t="s">
        <v>87</v>
      </c>
      <c r="E17" s="73" t="s">
        <v>88</v>
      </c>
      <c r="F17" s="73" t="s">
        <v>89</v>
      </c>
      <c r="G17" s="73" t="s">
        <v>90</v>
      </c>
      <c r="H17" s="73" t="s">
        <v>91</v>
      </c>
      <c r="I17" s="73" t="s">
        <v>92</v>
      </c>
      <c r="J17" s="74"/>
      <c r="K17" s="74"/>
      <c r="L17" s="75"/>
      <c r="M17" s="75"/>
    </row>
    <row r="18" spans="1:13">
      <c r="A18" s="76">
        <v>1</v>
      </c>
      <c r="B18" s="77">
        <v>43101</v>
      </c>
      <c r="C18" s="78">
        <v>30000</v>
      </c>
      <c r="D18" s="78">
        <v>552.5</v>
      </c>
      <c r="E18" s="79" t="s">
        <v>132</v>
      </c>
      <c r="F18" s="78">
        <v>552.5</v>
      </c>
      <c r="G18" s="78">
        <v>452.5</v>
      </c>
      <c r="H18" s="78">
        <v>100</v>
      </c>
      <c r="I18" s="78">
        <v>29547.5</v>
      </c>
      <c r="J18" s="80"/>
      <c r="K18" s="82"/>
      <c r="L18" s="84"/>
      <c r="M18" s="84"/>
    </row>
    <row r="19" spans="1:13">
      <c r="A19" s="76">
        <v>2</v>
      </c>
      <c r="B19" s="77">
        <v>43132</v>
      </c>
      <c r="C19" s="78">
        <v>29547.5</v>
      </c>
      <c r="D19" s="78">
        <v>552.5</v>
      </c>
      <c r="E19" s="79" t="s">
        <v>133</v>
      </c>
      <c r="F19" s="78">
        <v>552.5</v>
      </c>
      <c r="G19" s="78">
        <v>454</v>
      </c>
      <c r="H19" s="78">
        <v>98.49</v>
      </c>
      <c r="I19" s="78">
        <v>29093.5</v>
      </c>
      <c r="J19" s="80"/>
      <c r="K19" s="85"/>
      <c r="L19" s="84"/>
      <c r="M19" s="84"/>
    </row>
    <row r="20" spans="1:13">
      <c r="A20" s="76">
        <v>3</v>
      </c>
      <c r="B20" s="77">
        <v>43160</v>
      </c>
      <c r="C20" s="78">
        <v>29093.5</v>
      </c>
      <c r="D20" s="78">
        <v>552.5</v>
      </c>
      <c r="E20" s="79" t="s">
        <v>133</v>
      </c>
      <c r="F20" s="78">
        <v>552.5</v>
      </c>
      <c r="G20" s="78">
        <v>455.52</v>
      </c>
      <c r="H20" s="78">
        <v>96.98</v>
      </c>
      <c r="I20" s="78">
        <v>28637.98</v>
      </c>
      <c r="J20" s="82"/>
      <c r="K20" s="82"/>
      <c r="L20" s="84"/>
      <c r="M20" s="84"/>
    </row>
    <row r="21" spans="1:13">
      <c r="A21" s="76">
        <v>4</v>
      </c>
      <c r="B21" s="77">
        <v>43191</v>
      </c>
      <c r="C21" s="78">
        <v>28637.98</v>
      </c>
      <c r="D21" s="78">
        <v>552.5</v>
      </c>
      <c r="E21" s="79" t="s">
        <v>133</v>
      </c>
      <c r="F21" s="78">
        <v>552.5</v>
      </c>
      <c r="G21" s="78">
        <v>457.04</v>
      </c>
      <c r="H21" s="78">
        <v>95.46</v>
      </c>
      <c r="I21" s="78">
        <v>28180.95</v>
      </c>
      <c r="J21" s="82"/>
      <c r="K21" s="82"/>
      <c r="L21" s="84"/>
      <c r="M21" s="84"/>
    </row>
    <row r="22" spans="1:13">
      <c r="A22" s="76">
        <v>5</v>
      </c>
      <c r="B22" s="77">
        <v>43221</v>
      </c>
      <c r="C22" s="78">
        <v>28180.95</v>
      </c>
      <c r="D22" s="78">
        <v>552.5</v>
      </c>
      <c r="E22" s="79" t="s">
        <v>133</v>
      </c>
      <c r="F22" s="78">
        <v>552.5</v>
      </c>
      <c r="G22" s="78">
        <v>458.56</v>
      </c>
      <c r="H22" s="78">
        <v>93.94</v>
      </c>
      <c r="I22" s="78">
        <v>27722.39</v>
      </c>
      <c r="J22" s="82"/>
      <c r="K22" s="82"/>
      <c r="L22" s="84"/>
      <c r="M22" s="84"/>
    </row>
    <row r="23" spans="1:13">
      <c r="A23" s="76">
        <v>6</v>
      </c>
      <c r="B23" s="77">
        <v>43252</v>
      </c>
      <c r="C23" s="78">
        <v>27722.39</v>
      </c>
      <c r="D23" s="78">
        <v>552.5</v>
      </c>
      <c r="E23" s="79" t="s">
        <v>133</v>
      </c>
      <c r="F23" s="78">
        <v>552.5</v>
      </c>
      <c r="G23" s="78">
        <v>460.09</v>
      </c>
      <c r="H23" s="78">
        <v>92.41</v>
      </c>
      <c r="I23" s="78">
        <v>27262.3</v>
      </c>
      <c r="J23" s="81"/>
      <c r="K23" s="81"/>
      <c r="L23" s="83"/>
      <c r="M23" s="83"/>
    </row>
    <row r="24" spans="1:13">
      <c r="A24" s="76">
        <v>7</v>
      </c>
      <c r="B24" s="77">
        <v>43282</v>
      </c>
      <c r="C24" s="78">
        <v>27262.3</v>
      </c>
      <c r="D24" s="78">
        <v>552.5</v>
      </c>
      <c r="E24" s="79" t="s">
        <v>133</v>
      </c>
      <c r="F24" s="78">
        <v>552.5</v>
      </c>
      <c r="G24" s="78">
        <v>461.62</v>
      </c>
      <c r="H24" s="78">
        <v>90.87</v>
      </c>
      <c r="I24" s="78">
        <v>26800.68</v>
      </c>
      <c r="J24" s="81"/>
      <c r="K24" s="81"/>
      <c r="L24" s="83"/>
      <c r="M24" s="83"/>
    </row>
    <row r="25" spans="1:13">
      <c r="A25" s="76">
        <v>8</v>
      </c>
      <c r="B25" s="77">
        <v>43313</v>
      </c>
      <c r="C25" s="78">
        <v>26800.68</v>
      </c>
      <c r="D25" s="78">
        <v>552.5</v>
      </c>
      <c r="E25" s="79" t="s">
        <v>133</v>
      </c>
      <c r="F25" s="78">
        <v>552.5</v>
      </c>
      <c r="G25" s="78">
        <v>463.16</v>
      </c>
      <c r="H25" s="78">
        <v>89.34</v>
      </c>
      <c r="I25" s="78">
        <v>26337.52</v>
      </c>
      <c r="J25" s="81"/>
      <c r="K25" s="81"/>
      <c r="L25" s="83"/>
      <c r="M25" s="83"/>
    </row>
    <row r="26" spans="1:13">
      <c r="A26" s="76">
        <v>9</v>
      </c>
      <c r="B26" s="77">
        <v>43344</v>
      </c>
      <c r="C26" s="78">
        <v>26337.52</v>
      </c>
      <c r="D26" s="78">
        <v>552.5</v>
      </c>
      <c r="E26" s="79" t="s">
        <v>133</v>
      </c>
      <c r="F26" s="78">
        <v>552.5</v>
      </c>
      <c r="G26" s="78">
        <v>464.7</v>
      </c>
      <c r="H26" s="78">
        <v>87.79</v>
      </c>
      <c r="I26" s="78">
        <v>25872.82</v>
      </c>
      <c r="J26" s="81"/>
      <c r="K26" s="81"/>
      <c r="L26" s="83"/>
      <c r="M26" s="83"/>
    </row>
    <row r="27" spans="1:13">
      <c r="A27" s="76">
        <v>10</v>
      </c>
      <c r="B27" s="77">
        <v>43374</v>
      </c>
      <c r="C27" s="78">
        <v>25872.82</v>
      </c>
      <c r="D27" s="78">
        <v>552.5</v>
      </c>
      <c r="E27" s="79" t="s">
        <v>133</v>
      </c>
      <c r="F27" s="78">
        <v>552.5</v>
      </c>
      <c r="G27" s="78">
        <v>466.25</v>
      </c>
      <c r="H27" s="78">
        <v>86.24</v>
      </c>
      <c r="I27" s="78">
        <v>25406.560000000001</v>
      </c>
      <c r="J27" s="81"/>
      <c r="K27" s="81"/>
      <c r="L27" s="83"/>
      <c r="M27" s="83"/>
    </row>
    <row r="28" spans="1:13">
      <c r="A28" s="76">
        <v>11</v>
      </c>
      <c r="B28" s="77">
        <v>43405</v>
      </c>
      <c r="C28" s="78">
        <v>25406.560000000001</v>
      </c>
      <c r="D28" s="78">
        <v>552.5</v>
      </c>
      <c r="E28" s="79" t="s">
        <v>133</v>
      </c>
      <c r="F28" s="78">
        <v>552.5</v>
      </c>
      <c r="G28" s="78">
        <v>467.81</v>
      </c>
      <c r="H28" s="78">
        <v>84.69</v>
      </c>
      <c r="I28" s="78">
        <v>24938.76</v>
      </c>
      <c r="J28" s="81"/>
      <c r="K28" s="81"/>
      <c r="L28" s="83"/>
      <c r="M28" s="83"/>
    </row>
    <row r="29" spans="1:13">
      <c r="A29" s="76">
        <v>12</v>
      </c>
      <c r="B29" s="77">
        <v>43435</v>
      </c>
      <c r="C29" s="78">
        <v>24938.76</v>
      </c>
      <c r="D29" s="78">
        <v>552.5</v>
      </c>
      <c r="E29" s="79" t="s">
        <v>133</v>
      </c>
      <c r="F29" s="78">
        <v>552.5</v>
      </c>
      <c r="G29" s="78">
        <v>469.37</v>
      </c>
      <c r="H29" s="78">
        <v>83.13</v>
      </c>
      <c r="I29" s="78">
        <v>24469.39</v>
      </c>
      <c r="J29" s="81"/>
      <c r="K29" s="81"/>
      <c r="L29" s="83"/>
      <c r="M29" s="83"/>
    </row>
    <row r="30" spans="1:13">
      <c r="A30" s="76">
        <v>13</v>
      </c>
      <c r="B30" s="77">
        <v>43466</v>
      </c>
      <c r="C30" s="78">
        <v>24469.39</v>
      </c>
      <c r="D30" s="78">
        <v>552.5</v>
      </c>
      <c r="E30" s="79" t="s">
        <v>133</v>
      </c>
      <c r="F30" s="78">
        <v>552.5</v>
      </c>
      <c r="G30" s="78">
        <v>470.93</v>
      </c>
      <c r="H30" s="78">
        <v>81.56</v>
      </c>
      <c r="I30" s="78">
        <v>23998.46</v>
      </c>
      <c r="J30" s="81"/>
      <c r="K30" s="81"/>
      <c r="L30" s="83"/>
      <c r="M30" s="83"/>
    </row>
    <row r="31" spans="1:13">
      <c r="A31" s="76">
        <v>14</v>
      </c>
      <c r="B31" s="77">
        <v>43497</v>
      </c>
      <c r="C31" s="78">
        <v>23998.46</v>
      </c>
      <c r="D31" s="78">
        <v>552.5</v>
      </c>
      <c r="E31" s="79" t="s">
        <v>133</v>
      </c>
      <c r="F31" s="78">
        <v>552.5</v>
      </c>
      <c r="G31" s="78">
        <v>472.5</v>
      </c>
      <c r="H31" s="78">
        <v>79.989999999999995</v>
      </c>
      <c r="I31" s="78">
        <v>23525.96</v>
      </c>
      <c r="J31" s="81"/>
      <c r="K31" s="81"/>
      <c r="L31" s="83"/>
      <c r="M31" s="83"/>
    </row>
    <row r="32" spans="1:13">
      <c r="A32" s="76">
        <v>15</v>
      </c>
      <c r="B32" s="77">
        <v>43525</v>
      </c>
      <c r="C32" s="78">
        <v>23525.96</v>
      </c>
      <c r="D32" s="78">
        <v>552.5</v>
      </c>
      <c r="E32" s="79" t="s">
        <v>133</v>
      </c>
      <c r="F32" s="78">
        <v>552.5</v>
      </c>
      <c r="G32" s="78">
        <v>474.08</v>
      </c>
      <c r="H32" s="78">
        <v>78.42</v>
      </c>
      <c r="I32" s="78">
        <v>23051.88</v>
      </c>
      <c r="J32" s="81"/>
      <c r="K32" s="81"/>
      <c r="L32" s="83"/>
      <c r="M32" s="83"/>
    </row>
    <row r="33" spans="1:13">
      <c r="A33" s="76">
        <v>16</v>
      </c>
      <c r="B33" s="77">
        <v>43556</v>
      </c>
      <c r="C33" s="78">
        <v>23051.88</v>
      </c>
      <c r="D33" s="78">
        <v>552.5</v>
      </c>
      <c r="E33" s="79" t="s">
        <v>133</v>
      </c>
      <c r="F33" s="78">
        <v>552.5</v>
      </c>
      <c r="G33" s="78">
        <v>475.66</v>
      </c>
      <c r="H33" s="78">
        <v>76.84</v>
      </c>
      <c r="I33" s="78">
        <v>22576.22</v>
      </c>
      <c r="J33" s="81"/>
      <c r="K33" s="81"/>
      <c r="L33" s="83"/>
      <c r="M33" s="83"/>
    </row>
    <row r="34" spans="1:13">
      <c r="A34" s="76">
        <v>17</v>
      </c>
      <c r="B34" s="77">
        <v>43586</v>
      </c>
      <c r="C34" s="78">
        <v>22576.22</v>
      </c>
      <c r="D34" s="78">
        <v>552.5</v>
      </c>
      <c r="E34" s="79" t="s">
        <v>133</v>
      </c>
      <c r="F34" s="78">
        <v>552.5</v>
      </c>
      <c r="G34" s="78">
        <v>477.24</v>
      </c>
      <c r="H34" s="78">
        <v>75.25</v>
      </c>
      <c r="I34" s="78">
        <v>22098.98</v>
      </c>
      <c r="J34" s="81"/>
      <c r="K34" s="81"/>
      <c r="L34" s="83"/>
      <c r="M34" s="83"/>
    </row>
    <row r="35" spans="1:13">
      <c r="A35" s="76">
        <v>18</v>
      </c>
      <c r="B35" s="77">
        <v>43617</v>
      </c>
      <c r="C35" s="78">
        <v>22098.98</v>
      </c>
      <c r="D35" s="78">
        <v>552.5</v>
      </c>
      <c r="E35" s="79" t="s">
        <v>133</v>
      </c>
      <c r="F35" s="78">
        <v>552.5</v>
      </c>
      <c r="G35" s="78">
        <v>478.83</v>
      </c>
      <c r="H35" s="78">
        <v>73.66</v>
      </c>
      <c r="I35" s="78">
        <v>21620.15</v>
      </c>
      <c r="J35" s="81"/>
      <c r="K35" s="81"/>
      <c r="L35" s="83"/>
      <c r="M35" s="83"/>
    </row>
    <row r="36" spans="1:13">
      <c r="A36" s="76">
        <v>19</v>
      </c>
      <c r="B36" s="77">
        <v>43647</v>
      </c>
      <c r="C36" s="78">
        <v>21620.15</v>
      </c>
      <c r="D36" s="78">
        <v>552.5</v>
      </c>
      <c r="E36" s="79" t="s">
        <v>133</v>
      </c>
      <c r="F36" s="78">
        <v>552.5</v>
      </c>
      <c r="G36" s="78">
        <v>480.43</v>
      </c>
      <c r="H36" s="78">
        <v>72.069999999999993</v>
      </c>
      <c r="I36" s="78">
        <v>21139.72</v>
      </c>
      <c r="J36" s="81"/>
      <c r="K36" s="81"/>
      <c r="L36" s="83"/>
      <c r="M36" s="83"/>
    </row>
    <row r="37" spans="1:13">
      <c r="A37" s="76">
        <v>20</v>
      </c>
      <c r="B37" s="77">
        <v>43678</v>
      </c>
      <c r="C37" s="78">
        <v>21139.72</v>
      </c>
      <c r="D37" s="78">
        <v>552.5</v>
      </c>
      <c r="E37" s="79" t="s">
        <v>133</v>
      </c>
      <c r="F37" s="78">
        <v>552.5</v>
      </c>
      <c r="G37" s="78">
        <v>482.03</v>
      </c>
      <c r="H37" s="78">
        <v>70.47</v>
      </c>
      <c r="I37" s="78">
        <v>20657.689999999999</v>
      </c>
      <c r="J37" s="81"/>
      <c r="K37" s="81"/>
      <c r="L37" s="83"/>
      <c r="M37" s="83"/>
    </row>
    <row r="38" spans="1:13">
      <c r="A38" s="76">
        <v>21</v>
      </c>
      <c r="B38" s="77">
        <v>43709</v>
      </c>
      <c r="C38" s="78">
        <v>20657.689999999999</v>
      </c>
      <c r="D38" s="78">
        <v>552.5</v>
      </c>
      <c r="E38" s="79" t="s">
        <v>133</v>
      </c>
      <c r="F38" s="78">
        <v>552.5</v>
      </c>
      <c r="G38" s="78">
        <v>483.64</v>
      </c>
      <c r="H38" s="78">
        <v>68.86</v>
      </c>
      <c r="I38" s="78">
        <v>20174.060000000001</v>
      </c>
      <c r="J38" s="81"/>
      <c r="K38" s="81"/>
      <c r="L38" s="83"/>
      <c r="M38" s="83"/>
    </row>
    <row r="39" spans="1:13">
      <c r="A39" s="76">
        <v>22</v>
      </c>
      <c r="B39" s="77">
        <v>43739</v>
      </c>
      <c r="C39" s="78">
        <v>20174.060000000001</v>
      </c>
      <c r="D39" s="78">
        <v>552.5</v>
      </c>
      <c r="E39" s="79" t="s">
        <v>133</v>
      </c>
      <c r="F39" s="78">
        <v>552.5</v>
      </c>
      <c r="G39" s="78">
        <v>485.25</v>
      </c>
      <c r="H39" s="78">
        <v>67.25</v>
      </c>
      <c r="I39" s="78">
        <v>19688.810000000001</v>
      </c>
      <c r="J39" s="81"/>
      <c r="K39" s="81"/>
      <c r="L39" s="83"/>
      <c r="M39" s="83"/>
    </row>
    <row r="40" spans="1:13">
      <c r="A40" s="76">
        <v>23</v>
      </c>
      <c r="B40" s="77">
        <v>43770</v>
      </c>
      <c r="C40" s="78">
        <v>19688.810000000001</v>
      </c>
      <c r="D40" s="78">
        <v>552.5</v>
      </c>
      <c r="E40" s="79" t="s">
        <v>133</v>
      </c>
      <c r="F40" s="78">
        <v>552.5</v>
      </c>
      <c r="G40" s="78">
        <v>486.87</v>
      </c>
      <c r="H40" s="78">
        <v>65.63</v>
      </c>
      <c r="I40" s="78">
        <v>19201.939999999999</v>
      </c>
      <c r="J40" s="81"/>
      <c r="K40" s="81"/>
      <c r="L40" s="83"/>
      <c r="M40" s="83"/>
    </row>
    <row r="41" spans="1:13">
      <c r="A41" s="76">
        <v>24</v>
      </c>
      <c r="B41" s="77">
        <v>43800</v>
      </c>
      <c r="C41" s="78">
        <v>19201.939999999999</v>
      </c>
      <c r="D41" s="78">
        <v>552.5</v>
      </c>
      <c r="E41" s="79" t="s">
        <v>133</v>
      </c>
      <c r="F41" s="78">
        <v>552.5</v>
      </c>
      <c r="G41" s="78">
        <v>488.49</v>
      </c>
      <c r="H41" s="78">
        <v>64.010000000000005</v>
      </c>
      <c r="I41" s="78">
        <v>18713.45</v>
      </c>
      <c r="J41" s="81"/>
      <c r="K41" s="81"/>
      <c r="L41" s="83"/>
      <c r="M41" s="83"/>
    </row>
    <row r="42" spans="1:13">
      <c r="A42" s="76">
        <v>25</v>
      </c>
      <c r="B42" s="77">
        <v>43831</v>
      </c>
      <c r="C42" s="78">
        <v>18713.45</v>
      </c>
      <c r="D42" s="78">
        <v>552.5</v>
      </c>
      <c r="E42" s="79" t="s">
        <v>133</v>
      </c>
      <c r="F42" s="78">
        <v>552.5</v>
      </c>
      <c r="G42" s="78">
        <v>490.12</v>
      </c>
      <c r="H42" s="78">
        <v>62.38</v>
      </c>
      <c r="I42" s="78">
        <v>18223.330000000002</v>
      </c>
      <c r="J42" s="81"/>
      <c r="K42" s="81"/>
      <c r="L42" s="83"/>
      <c r="M42" s="83"/>
    </row>
    <row r="43" spans="1:13">
      <c r="A43" s="76">
        <v>26</v>
      </c>
      <c r="B43" s="77">
        <v>43862</v>
      </c>
      <c r="C43" s="78">
        <v>18223.330000000002</v>
      </c>
      <c r="D43" s="78">
        <v>552.5</v>
      </c>
      <c r="E43" s="79" t="s">
        <v>133</v>
      </c>
      <c r="F43" s="78">
        <v>552.5</v>
      </c>
      <c r="G43" s="78">
        <v>491.75</v>
      </c>
      <c r="H43" s="78">
        <v>60.74</v>
      </c>
      <c r="I43" s="78">
        <v>17731.580000000002</v>
      </c>
      <c r="J43" s="81"/>
      <c r="K43" s="81"/>
      <c r="L43" s="83"/>
      <c r="M43" s="83"/>
    </row>
    <row r="44" spans="1:13">
      <c r="A44" s="76">
        <v>27</v>
      </c>
      <c r="B44" s="77">
        <v>43891</v>
      </c>
      <c r="C44" s="78">
        <v>17731.580000000002</v>
      </c>
      <c r="D44" s="78">
        <v>552.5</v>
      </c>
      <c r="E44" s="79" t="s">
        <v>133</v>
      </c>
      <c r="F44" s="78">
        <v>552.5</v>
      </c>
      <c r="G44" s="78">
        <v>493.39</v>
      </c>
      <c r="H44" s="78">
        <v>59.11</v>
      </c>
      <c r="I44" s="78">
        <v>17238.189999999999</v>
      </c>
      <c r="J44" s="81"/>
      <c r="K44" s="81"/>
      <c r="L44" s="83"/>
      <c r="M44" s="83"/>
    </row>
    <row r="45" spans="1:13">
      <c r="A45" s="76">
        <v>28</v>
      </c>
      <c r="B45" s="77">
        <v>43922</v>
      </c>
      <c r="C45" s="78">
        <v>17238.189999999999</v>
      </c>
      <c r="D45" s="78">
        <v>552.5</v>
      </c>
      <c r="E45" s="79" t="s">
        <v>133</v>
      </c>
      <c r="F45" s="78">
        <v>552.5</v>
      </c>
      <c r="G45" s="78">
        <v>495.04</v>
      </c>
      <c r="H45" s="78">
        <v>57.46</v>
      </c>
      <c r="I45" s="78">
        <v>16743.16</v>
      </c>
      <c r="J45" s="81"/>
      <c r="K45" s="81"/>
      <c r="L45" s="83"/>
      <c r="M45" s="83"/>
    </row>
    <row r="46" spans="1:13">
      <c r="A46" s="76">
        <v>29</v>
      </c>
      <c r="B46" s="77">
        <v>43952</v>
      </c>
      <c r="C46" s="78">
        <v>16743.16</v>
      </c>
      <c r="D46" s="78">
        <v>552.5</v>
      </c>
      <c r="E46" s="79" t="s">
        <v>133</v>
      </c>
      <c r="F46" s="78">
        <v>552.5</v>
      </c>
      <c r="G46" s="78">
        <v>496.69</v>
      </c>
      <c r="H46" s="78">
        <v>55.81</v>
      </c>
      <c r="I46" s="78">
        <v>16246.47</v>
      </c>
      <c r="J46" s="81"/>
      <c r="K46" s="81"/>
      <c r="L46" s="83"/>
      <c r="M46" s="83"/>
    </row>
    <row r="47" spans="1:13">
      <c r="A47" s="76">
        <v>30</v>
      </c>
      <c r="B47" s="77">
        <v>43983</v>
      </c>
      <c r="C47" s="78">
        <v>16246.47</v>
      </c>
      <c r="D47" s="78">
        <v>552.5</v>
      </c>
      <c r="E47" s="79" t="s">
        <v>133</v>
      </c>
      <c r="F47" s="78">
        <v>552.5</v>
      </c>
      <c r="G47" s="78">
        <v>498.34</v>
      </c>
      <c r="H47" s="78">
        <v>54.15</v>
      </c>
      <c r="I47" s="78">
        <v>15748.13</v>
      </c>
      <c r="J47" s="81"/>
      <c r="K47" s="81"/>
      <c r="L47" s="83"/>
      <c r="M47" s="83"/>
    </row>
    <row r="48" spans="1:13">
      <c r="A48" s="76">
        <v>31</v>
      </c>
      <c r="B48" s="77">
        <v>44013</v>
      </c>
      <c r="C48" s="78">
        <v>15748.13</v>
      </c>
      <c r="D48" s="78">
        <v>552.5</v>
      </c>
      <c r="E48" s="79" t="s">
        <v>133</v>
      </c>
      <c r="F48" s="78">
        <v>552.5</v>
      </c>
      <c r="G48" s="78">
        <v>500</v>
      </c>
      <c r="H48" s="78">
        <v>52.49</v>
      </c>
      <c r="I48" s="78">
        <v>15248.13</v>
      </c>
      <c r="J48" s="81"/>
      <c r="K48" s="81"/>
      <c r="L48" s="83"/>
      <c r="M48" s="83"/>
    </row>
    <row r="49" spans="1:13">
      <c r="A49" s="76">
        <v>32</v>
      </c>
      <c r="B49" s="77">
        <v>44044</v>
      </c>
      <c r="C49" s="78">
        <v>15248.13</v>
      </c>
      <c r="D49" s="78">
        <v>552.5</v>
      </c>
      <c r="E49" s="79" t="s">
        <v>133</v>
      </c>
      <c r="F49" s="78">
        <v>552.5</v>
      </c>
      <c r="G49" s="78">
        <v>501.67</v>
      </c>
      <c r="H49" s="78">
        <v>50.83</v>
      </c>
      <c r="I49" s="78">
        <v>14746.46</v>
      </c>
      <c r="J49" s="81"/>
      <c r="K49" s="81"/>
      <c r="L49" s="83"/>
      <c r="M49" s="83"/>
    </row>
    <row r="50" spans="1:13">
      <c r="A50" s="76">
        <v>33</v>
      </c>
      <c r="B50" s="77">
        <v>44075</v>
      </c>
      <c r="C50" s="78">
        <v>14746.46</v>
      </c>
      <c r="D50" s="78">
        <v>552.5</v>
      </c>
      <c r="E50" s="79" t="s">
        <v>133</v>
      </c>
      <c r="F50" s="78">
        <v>552.5</v>
      </c>
      <c r="G50" s="78">
        <v>503.34</v>
      </c>
      <c r="H50" s="78">
        <v>49.15</v>
      </c>
      <c r="I50" s="78">
        <v>14243.12</v>
      </c>
      <c r="J50" s="81"/>
      <c r="K50" s="81"/>
      <c r="L50" s="83"/>
      <c r="M50" s="83"/>
    </row>
    <row r="51" spans="1:13">
      <c r="A51" s="76">
        <v>34</v>
      </c>
      <c r="B51" s="77">
        <v>44105</v>
      </c>
      <c r="C51" s="78">
        <v>14243.12</v>
      </c>
      <c r="D51" s="78">
        <v>552.5</v>
      </c>
      <c r="E51" s="79" t="s">
        <v>133</v>
      </c>
      <c r="F51" s="78">
        <v>552.5</v>
      </c>
      <c r="G51" s="78">
        <v>505.02</v>
      </c>
      <c r="H51" s="78">
        <v>47.48</v>
      </c>
      <c r="I51" s="78">
        <v>13738.1</v>
      </c>
      <c r="J51" s="81"/>
      <c r="K51" s="81"/>
      <c r="L51" s="83"/>
      <c r="M51" s="83"/>
    </row>
    <row r="52" spans="1:13">
      <c r="A52" s="76">
        <v>35</v>
      </c>
      <c r="B52" s="77">
        <v>44136</v>
      </c>
      <c r="C52" s="78">
        <v>13738.1</v>
      </c>
      <c r="D52" s="78">
        <v>552.5</v>
      </c>
      <c r="E52" s="79" t="s">
        <v>133</v>
      </c>
      <c r="F52" s="78">
        <v>552.5</v>
      </c>
      <c r="G52" s="78">
        <v>506.7</v>
      </c>
      <c r="H52" s="78">
        <v>45.79</v>
      </c>
      <c r="I52" s="78">
        <v>13231.4</v>
      </c>
      <c r="J52" s="81"/>
      <c r="K52" s="81"/>
      <c r="L52" s="83"/>
      <c r="M52" s="83"/>
    </row>
    <row r="53" spans="1:13">
      <c r="A53" s="76">
        <v>36</v>
      </c>
      <c r="B53" s="77">
        <v>44166</v>
      </c>
      <c r="C53" s="78">
        <v>13231.4</v>
      </c>
      <c r="D53" s="78">
        <v>552.5</v>
      </c>
      <c r="E53" s="79" t="s">
        <v>133</v>
      </c>
      <c r="F53" s="78">
        <v>552.5</v>
      </c>
      <c r="G53" s="78">
        <v>508.39</v>
      </c>
      <c r="H53" s="78">
        <v>44.1</v>
      </c>
      <c r="I53" s="78">
        <v>12723.01</v>
      </c>
      <c r="J53" s="81"/>
      <c r="K53" s="81"/>
      <c r="L53" s="83"/>
      <c r="M53" s="83"/>
    </row>
    <row r="54" spans="1:13">
      <c r="A54" s="76">
        <v>37</v>
      </c>
      <c r="B54" s="77" t="e">
        <v>#VALUE!</v>
      </c>
      <c r="C54" s="78" t="e">
        <v>#VALUE!</v>
      </c>
      <c r="D54" s="78" t="e">
        <v>#VALUE!</v>
      </c>
      <c r="E54" s="79" t="e">
        <v>#VALUE!</v>
      </c>
      <c r="F54" s="78" t="e">
        <v>#VALUE!</v>
      </c>
      <c r="G54" s="78" t="e">
        <v>#VALUE!</v>
      </c>
      <c r="H54" s="78" t="e">
        <v>#VALUE!</v>
      </c>
      <c r="I54" s="78" t="e">
        <v>#VALUE!</v>
      </c>
      <c r="J54" s="52"/>
      <c r="K54" s="52"/>
      <c r="L54" s="53"/>
      <c r="M54" s="53"/>
    </row>
    <row r="55" spans="1:13">
      <c r="A55" s="76">
        <v>38</v>
      </c>
      <c r="B55" s="86"/>
      <c r="C55" s="86"/>
      <c r="D55" s="86"/>
      <c r="E55" s="86"/>
      <c r="F55" s="86"/>
      <c r="G55" s="86"/>
      <c r="H55" s="86"/>
      <c r="I55" s="86"/>
      <c r="J55" s="52"/>
      <c r="K55" s="52"/>
      <c r="L55" s="53"/>
      <c r="M55" s="53"/>
    </row>
    <row r="56" spans="1:13">
      <c r="A56" s="76">
        <v>39</v>
      </c>
      <c r="B56" s="86"/>
      <c r="C56" s="86"/>
      <c r="D56" s="86"/>
      <c r="E56" s="86"/>
      <c r="F56" s="86"/>
      <c r="G56" s="86"/>
      <c r="H56" s="86"/>
      <c r="I56" s="86"/>
      <c r="J56" s="52"/>
      <c r="K56" s="52"/>
      <c r="L56" s="53"/>
      <c r="M56" s="53"/>
    </row>
    <row r="57" spans="1:13">
      <c r="A57" s="76">
        <v>40</v>
      </c>
      <c r="B57" s="86"/>
      <c r="C57" s="86"/>
      <c r="D57" s="86"/>
      <c r="E57" s="86"/>
      <c r="F57" s="86"/>
      <c r="G57" s="86"/>
      <c r="H57" s="86"/>
      <c r="I57" s="86"/>
      <c r="J57" s="52"/>
      <c r="K57" s="52"/>
      <c r="L57" s="53"/>
      <c r="M57" s="53"/>
    </row>
    <row r="58" spans="1:13">
      <c r="A58" s="76">
        <v>41</v>
      </c>
      <c r="B58" s="86"/>
      <c r="C58" s="86"/>
      <c r="D58" s="86"/>
      <c r="E58" s="86"/>
      <c r="F58" s="86"/>
      <c r="G58" s="86"/>
      <c r="H58" s="86"/>
      <c r="I58" s="86"/>
      <c r="J58" s="52"/>
      <c r="K58" s="52"/>
      <c r="L58" s="53"/>
      <c r="M58" s="53"/>
    </row>
    <row r="59" spans="1:13">
      <c r="A59" s="76">
        <v>42</v>
      </c>
      <c r="B59" s="86"/>
      <c r="C59" s="86"/>
      <c r="D59" s="86"/>
      <c r="E59" s="86"/>
      <c r="F59" s="86"/>
      <c r="G59" s="86"/>
      <c r="H59" s="86"/>
      <c r="I59" s="86"/>
      <c r="J59" s="52"/>
      <c r="K59" s="52"/>
      <c r="L59" s="53"/>
      <c r="M59" s="53"/>
    </row>
    <row r="60" spans="1:13">
      <c r="A60" s="76">
        <v>43</v>
      </c>
      <c r="B60" s="86"/>
      <c r="C60" s="86"/>
      <c r="D60" s="86"/>
      <c r="E60" s="86"/>
      <c r="F60" s="86"/>
      <c r="G60" s="86"/>
      <c r="H60" s="86"/>
      <c r="I60" s="86"/>
      <c r="J60" s="52"/>
      <c r="K60" s="52"/>
      <c r="L60" s="53"/>
      <c r="M60" s="53"/>
    </row>
    <row r="61" spans="1:13">
      <c r="A61" s="76">
        <v>44</v>
      </c>
      <c r="B61" s="86"/>
      <c r="C61" s="86"/>
      <c r="D61" s="86"/>
      <c r="E61" s="86"/>
      <c r="F61" s="86"/>
      <c r="G61" s="86"/>
      <c r="H61" s="86"/>
      <c r="I61" s="86"/>
      <c r="J61" s="52"/>
      <c r="K61" s="52"/>
      <c r="L61" s="53"/>
      <c r="M61" s="53"/>
    </row>
    <row r="62" spans="1:13">
      <c r="A62" s="76">
        <v>45</v>
      </c>
      <c r="B62" s="86"/>
      <c r="C62" s="86"/>
      <c r="D62" s="86"/>
      <c r="E62" s="86"/>
      <c r="F62" s="86"/>
      <c r="G62" s="86"/>
      <c r="H62" s="86"/>
      <c r="I62" s="86"/>
      <c r="J62" s="52"/>
      <c r="K62" s="52"/>
      <c r="L62" s="53"/>
      <c r="M62" s="53"/>
    </row>
  </sheetData>
  <mergeCells count="13">
    <mergeCell ref="A6:C6"/>
    <mergeCell ref="A1:I1"/>
    <mergeCell ref="A4:C4"/>
    <mergeCell ref="F4:I4"/>
    <mergeCell ref="A5:C5"/>
    <mergeCell ref="F5:I5"/>
    <mergeCell ref="A15:C15"/>
    <mergeCell ref="A7:C7"/>
    <mergeCell ref="A8:C8"/>
    <mergeCell ref="A11:C11"/>
    <mergeCell ref="A12:C12"/>
    <mergeCell ref="A13:C13"/>
    <mergeCell ref="A14:C14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15"/>
  <sheetViews>
    <sheetView workbookViewId="0">
      <selection activeCell="E25" sqref="E25"/>
    </sheetView>
  </sheetViews>
  <sheetFormatPr baseColWidth="10" defaultRowHeight="16"/>
  <cols>
    <col min="1" max="1" width="39.1640625" bestFit="1" customWidth="1"/>
    <col min="2" max="2" width="14.33203125" customWidth="1"/>
    <col min="5" max="5" width="16.5" customWidth="1"/>
  </cols>
  <sheetData>
    <row r="2" spans="1:6">
      <c r="A2" s="125" t="s">
        <v>174</v>
      </c>
      <c r="B2" s="125"/>
      <c r="C2" s="125"/>
      <c r="D2" s="125"/>
    </row>
    <row r="3" spans="1:6">
      <c r="A3" s="101" t="s">
        <v>177</v>
      </c>
      <c r="B3" s="101" t="s">
        <v>182</v>
      </c>
      <c r="C3" s="101" t="s">
        <v>178</v>
      </c>
      <c r="D3" s="101" t="s">
        <v>179</v>
      </c>
      <c r="E3" s="101" t="s">
        <v>180</v>
      </c>
      <c r="F3" s="101" t="s">
        <v>181</v>
      </c>
    </row>
    <row r="4" spans="1:6">
      <c r="A4" t="s">
        <v>175</v>
      </c>
    </row>
    <row r="5" spans="1:6">
      <c r="A5" t="s">
        <v>176</v>
      </c>
    </row>
    <row r="6" spans="1:6">
      <c r="A6" t="s">
        <v>183</v>
      </c>
    </row>
    <row r="7" spans="1:6">
      <c r="A7" t="s">
        <v>184</v>
      </c>
    </row>
    <row r="8" spans="1:6">
      <c r="A8" t="s">
        <v>185</v>
      </c>
    </row>
    <row r="9" spans="1:6">
      <c r="A9" t="s">
        <v>186</v>
      </c>
    </row>
    <row r="10" spans="1:6">
      <c r="A10" t="s">
        <v>187</v>
      </c>
    </row>
    <row r="11" spans="1:6">
      <c r="A11" t="s">
        <v>195</v>
      </c>
      <c r="B11" t="s">
        <v>190</v>
      </c>
      <c r="F11">
        <v>29.99</v>
      </c>
    </row>
    <row r="12" spans="1:6">
      <c r="A12" t="s">
        <v>188</v>
      </c>
      <c r="B12" t="s">
        <v>189</v>
      </c>
      <c r="F12">
        <v>9.99</v>
      </c>
    </row>
    <row r="13" spans="1:6">
      <c r="A13" t="s">
        <v>191</v>
      </c>
      <c r="B13" t="s">
        <v>192</v>
      </c>
      <c r="F13">
        <v>7.99</v>
      </c>
    </row>
    <row r="15" spans="1:6">
      <c r="A15" t="s">
        <v>193</v>
      </c>
      <c r="B15" t="s">
        <v>194</v>
      </c>
    </row>
  </sheetData>
  <mergeCells count="1">
    <mergeCell ref="A2:D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62B26-19B2-A04E-9073-5999A3E4DDFD}">
  <sheetPr>
    <tabColor rgb="FF00B050"/>
  </sheetPr>
  <dimension ref="A2:K31"/>
  <sheetViews>
    <sheetView tabSelected="1" zoomScale="116" workbookViewId="0">
      <pane xSplit="1" ySplit="2" topLeftCell="G6" activePane="bottomRight" state="frozen"/>
      <selection pane="topRight" activeCell="B1" sqref="B1"/>
      <selection pane="bottomLeft" activeCell="A3" sqref="A3"/>
      <selection pane="bottomRight" activeCell="D13" sqref="D13"/>
    </sheetView>
  </sheetViews>
  <sheetFormatPr baseColWidth="10" defaultRowHeight="16"/>
  <cols>
    <col min="1" max="1" width="55.5" style="49" customWidth="1"/>
    <col min="2" max="2" width="33.33203125" style="113" customWidth="1"/>
    <col min="3" max="3" width="24.6640625" style="113" customWidth="1"/>
    <col min="9" max="9" width="13.1640625" customWidth="1"/>
  </cols>
  <sheetData>
    <row r="2" spans="1:11" ht="17">
      <c r="A2" s="88" t="s">
        <v>253</v>
      </c>
      <c r="B2" s="112" t="s">
        <v>255</v>
      </c>
      <c r="C2" s="112" t="s">
        <v>256</v>
      </c>
    </row>
    <row r="3" spans="1:11" ht="17">
      <c r="A3" s="111" t="s">
        <v>254</v>
      </c>
      <c r="B3" s="114" t="s">
        <v>95</v>
      </c>
      <c r="C3" s="114" t="s">
        <v>95</v>
      </c>
    </row>
    <row r="4" spans="1:11" ht="34">
      <c r="A4" s="49" t="s">
        <v>228</v>
      </c>
    </row>
    <row r="5" spans="1:11" ht="34">
      <c r="A5" s="49" t="s">
        <v>257</v>
      </c>
    </row>
    <row r="6" spans="1:11" ht="39">
      <c r="A6" s="49" t="s">
        <v>234</v>
      </c>
      <c r="B6" s="113" t="s">
        <v>258</v>
      </c>
    </row>
    <row r="7" spans="1:11" ht="34">
      <c r="A7" s="49" t="s">
        <v>227</v>
      </c>
    </row>
    <row r="8" spans="1:11" ht="17">
      <c r="A8" s="49" t="s">
        <v>226</v>
      </c>
    </row>
    <row r="9" spans="1:11" ht="26">
      <c r="A9" s="49" t="s">
        <v>229</v>
      </c>
      <c r="B9" s="113" t="s">
        <v>259</v>
      </c>
    </row>
    <row r="10" spans="1:11" ht="17">
      <c r="A10" s="111" t="s">
        <v>230</v>
      </c>
      <c r="I10" t="s">
        <v>241</v>
      </c>
      <c r="J10" s="109" t="s">
        <v>242</v>
      </c>
      <c r="K10" s="110" t="s">
        <v>243</v>
      </c>
    </row>
    <row r="11" spans="1:11" ht="34">
      <c r="A11" s="49" t="s">
        <v>231</v>
      </c>
      <c r="B11" s="113" t="s">
        <v>260</v>
      </c>
      <c r="I11" t="s">
        <v>244</v>
      </c>
      <c r="J11" s="109" t="s">
        <v>245</v>
      </c>
      <c r="K11" s="110" t="s">
        <v>246</v>
      </c>
    </row>
    <row r="12" spans="1:11" ht="17">
      <c r="A12" s="49" t="s">
        <v>235</v>
      </c>
      <c r="I12" t="s">
        <v>247</v>
      </c>
      <c r="J12" s="109" t="s">
        <v>245</v>
      </c>
      <c r="K12" s="110" t="s">
        <v>248</v>
      </c>
    </row>
    <row r="13" spans="1:11">
      <c r="I13" t="s">
        <v>250</v>
      </c>
      <c r="J13" s="109" t="s">
        <v>249</v>
      </c>
      <c r="K13" s="110" t="s">
        <v>251</v>
      </c>
    </row>
    <row r="14" spans="1:11" ht="17">
      <c r="A14" s="111" t="s">
        <v>267</v>
      </c>
    </row>
    <row r="15" spans="1:11" ht="34">
      <c r="A15" s="49" t="s">
        <v>232</v>
      </c>
      <c r="B15" s="113" t="s">
        <v>261</v>
      </c>
    </row>
    <row r="16" spans="1:11" ht="17">
      <c r="A16" s="49" t="s">
        <v>233</v>
      </c>
    </row>
    <row r="17" spans="1:2" ht="39">
      <c r="A17" s="49" t="s">
        <v>268</v>
      </c>
      <c r="B17" s="113" t="s">
        <v>269</v>
      </c>
    </row>
    <row r="21" spans="1:2" ht="17">
      <c r="A21" s="111" t="s">
        <v>236</v>
      </c>
    </row>
    <row r="22" spans="1:2" ht="34">
      <c r="A22" s="49" t="s">
        <v>237</v>
      </c>
    </row>
    <row r="23" spans="1:2" ht="34">
      <c r="A23" s="49" t="s">
        <v>240</v>
      </c>
    </row>
    <row r="24" spans="1:2" ht="17">
      <c r="A24" s="49" t="s">
        <v>238</v>
      </c>
    </row>
    <row r="25" spans="1:2" ht="17">
      <c r="A25" s="49" t="s">
        <v>239</v>
      </c>
    </row>
    <row r="26" spans="1:2" ht="34">
      <c r="A26" s="49" t="s">
        <v>252</v>
      </c>
    </row>
    <row r="27" spans="1:2" ht="17">
      <c r="A27" s="111" t="s">
        <v>262</v>
      </c>
    </row>
    <row r="28" spans="1:2" ht="17">
      <c r="A28" s="49" t="s">
        <v>263</v>
      </c>
    </row>
    <row r="29" spans="1:2" ht="17">
      <c r="A29" s="49" t="s">
        <v>264</v>
      </c>
    </row>
    <row r="30" spans="1:2" ht="34">
      <c r="A30" s="49" t="s">
        <v>265</v>
      </c>
    </row>
    <row r="31" spans="1:2" ht="34">
      <c r="A31" s="49" t="s">
        <v>266</v>
      </c>
    </row>
  </sheetData>
  <hyperlinks>
    <hyperlink ref="K10" r:id="rId1" xr:uid="{B28CEEDC-5D8B-364F-98B2-E1D0B42A7FE5}"/>
    <hyperlink ref="K11" r:id="rId2" xr:uid="{9308E14E-FF90-9240-8A99-1255FC80DC31}"/>
    <hyperlink ref="K12" r:id="rId3" xr:uid="{89519F62-0ABE-684A-A10F-320B7F499CD0}"/>
    <hyperlink ref="K13" r:id="rId4" xr:uid="{77B853B9-5B1F-F141-9E38-24D85AA2AC7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Background</vt:lpstr>
      <vt:lpstr>Expense Sheet</vt:lpstr>
      <vt:lpstr>Amortization Schedule</vt:lpstr>
      <vt:lpstr>New Car - Compare</vt:lpstr>
      <vt:lpstr>Miscellaneous Parts</vt:lpstr>
      <vt:lpstr>2020 - Campaign Parts</vt:lpstr>
      <vt:lpstr>Beg_Bal</vt:lpstr>
      <vt:lpstr>Extra_Pay</vt:lpstr>
      <vt:lpstr>Int</vt:lpstr>
      <vt:lpstr>Interest_Rate</vt:lpstr>
      <vt:lpstr>Loan_Amount</vt:lpstr>
      <vt:lpstr>Loan_Start</vt:lpstr>
      <vt:lpstr>Loan_Years</vt:lpstr>
      <vt:lpstr>Pay_Num</vt:lpstr>
      <vt:lpstr>Princ</vt:lpstr>
      <vt:lpstr>Sched_Pay</vt:lpstr>
      <vt:lpstr>Scheduled_Extra_Payments</vt:lpstr>
      <vt:lpstr>Scheduled_Monthly_Payment</vt:lpstr>
      <vt:lpstr>Total_Pay</vt:lpstr>
    </vt:vector>
  </TitlesOfParts>
  <Company>Self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Cook</dc:creator>
  <cp:lastModifiedBy>Microsoft Office User</cp:lastModifiedBy>
  <dcterms:created xsi:type="dcterms:W3CDTF">2017-12-17T19:27:29Z</dcterms:created>
  <dcterms:modified xsi:type="dcterms:W3CDTF">2020-01-29T20:35:23Z</dcterms:modified>
</cp:coreProperties>
</file>